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xr:revisionPtr revIDLastSave="0" documentId="8_{1032709D-F2E0-4CD2-B5DB-9FD457317D60}" xr6:coauthVersionLast="45" xr6:coauthVersionMax="45" xr10:uidLastSave="{00000000-0000-0000-0000-000000000000}"/>
  <bookViews>
    <workbookView xWindow="165" yWindow="390" windowWidth="20790" windowHeight="11820" xr2:uid="{00000000-000D-0000-FFFF-FFFF00000000}"/>
  </bookViews>
  <sheets>
    <sheet name="Materials composition" sheetId="11" r:id="rId1"/>
    <sheet name="TRANSLATIONS" sheetId="12" state="hidden" r:id="rId2"/>
    <sheet name="AUXILIARY" sheetId="15" state="hidden" r:id="rId3"/>
    <sheet name="OUTPUTS_MC" sheetId="18" state="hidden" r:id="rId4"/>
    <sheet name="OUTPUTS_MRM" sheetId="19" state="hidden" r:id="rId5"/>
    <sheet name="OUTPUTS_IDP" sheetId="17" state="hidden" r:id="rId6"/>
  </sheets>
  <definedNames>
    <definedName name="BM_REVISION">'Materials composition'!$G$2</definedName>
    <definedName name="BM_TDM_ID">'Materials composition'!$D$2</definedName>
    <definedName name="CAT_TAB">AUXILIARY!$B$3:$B$11</definedName>
    <definedName name="IndexLanguage">TRANSLATIONS!$D$2</definedName>
    <definedName name="Language">TRANSLATIONS!$C$4:$E$4</definedName>
    <definedName name="NameLanguage">'Materials composition'!$N$2</definedName>
    <definedName name="TableLanguage">TRANSLATIONS!$B$5:$F$201</definedName>
    <definedName name="TitleLanguage">TRANSLATIONS!$B$4:$F$4</definedName>
    <definedName name="UNITS">AUXILIARY!$C$3:$C$10</definedName>
    <definedName name="UNITS_2">AUXILIARY!$E$3:$E$9</definedName>
    <definedName name="UNITS_TAB">AUXILIARY!$C$3:$D$10</definedName>
    <definedName name="Zvolena_jednotka">'Materials composition'!$N$10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7" l="1"/>
  <c r="G11" i="17"/>
  <c r="F11" i="17"/>
  <c r="D11" i="17"/>
  <c r="C11" i="17"/>
  <c r="B11" i="17"/>
  <c r="H10" i="17"/>
  <c r="G10" i="17"/>
  <c r="F10" i="17"/>
  <c r="D10" i="17"/>
  <c r="C10" i="17"/>
  <c r="B10" i="17"/>
  <c r="H9" i="17"/>
  <c r="G9" i="17"/>
  <c r="F9" i="17"/>
  <c r="D9" i="17"/>
  <c r="C9" i="17"/>
  <c r="B9" i="17"/>
  <c r="H8" i="17"/>
  <c r="G8" i="17"/>
  <c r="F8" i="17"/>
  <c r="D8" i="17"/>
  <c r="C8" i="17"/>
  <c r="B8" i="17"/>
  <c r="H7" i="17"/>
  <c r="G7" i="17"/>
  <c r="F7" i="17"/>
  <c r="D7" i="17"/>
  <c r="C7" i="17"/>
  <c r="B7" i="17"/>
  <c r="H6" i="17"/>
  <c r="G6" i="17"/>
  <c r="F6" i="17"/>
  <c r="D6" i="17"/>
  <c r="C6" i="17"/>
  <c r="B6" i="17"/>
  <c r="H5" i="17"/>
  <c r="G5" i="17"/>
  <c r="F5" i="17"/>
  <c r="D5" i="17"/>
  <c r="C5" i="17"/>
  <c r="B5" i="17"/>
  <c r="H4" i="17"/>
  <c r="G4" i="17"/>
  <c r="F4" i="17"/>
  <c r="D4" i="17"/>
  <c r="C4" i="17"/>
  <c r="B4" i="17"/>
  <c r="H3" i="17"/>
  <c r="G3" i="17"/>
  <c r="F3" i="17"/>
  <c r="D3" i="17"/>
  <c r="C3" i="17"/>
  <c r="B3" i="17"/>
  <c r="H2" i="17"/>
  <c r="G2" i="17"/>
  <c r="F2" i="17"/>
  <c r="D2" i="17"/>
  <c r="C2" i="17"/>
  <c r="B2" i="17"/>
  <c r="C12" i="19"/>
  <c r="B12" i="19"/>
  <c r="C11" i="19"/>
  <c r="B11" i="19"/>
  <c r="C10" i="19"/>
  <c r="B10" i="19"/>
  <c r="C9" i="19"/>
  <c r="B9" i="19"/>
  <c r="C8" i="19"/>
  <c r="B8" i="19"/>
  <c r="C7" i="19"/>
  <c r="B7" i="19"/>
  <c r="C6" i="19"/>
  <c r="B6" i="19"/>
  <c r="C5" i="19"/>
  <c r="B5" i="19"/>
  <c r="C4" i="19"/>
  <c r="B4" i="19"/>
  <c r="C3" i="19"/>
  <c r="B3" i="19"/>
  <c r="C2" i="19"/>
  <c r="B2" i="19"/>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D10" i="18"/>
  <c r="C10" i="18"/>
  <c r="D9" i="18"/>
  <c r="C9" i="18"/>
  <c r="D8" i="18"/>
  <c r="C8" i="18"/>
  <c r="D7" i="18"/>
  <c r="C7" i="18"/>
  <c r="D6" i="18"/>
  <c r="C6" i="18"/>
  <c r="D5" i="18"/>
  <c r="C5" i="18"/>
  <c r="D4" i="18"/>
  <c r="C4" i="18"/>
  <c r="D3" i="18"/>
  <c r="C3" i="18"/>
  <c r="D2" i="18"/>
  <c r="C2" i="18"/>
  <c r="D2" i="12"/>
  <c r="H100" i="11" s="1"/>
  <c r="N78" i="11"/>
  <c r="M78" i="11"/>
  <c r="N77" i="11"/>
  <c r="N76" i="11"/>
  <c r="N75" i="11"/>
  <c r="N74" i="11"/>
  <c r="N73" i="11"/>
  <c r="N72" i="11"/>
  <c r="N71" i="11"/>
  <c r="N70" i="11"/>
  <c r="N69" i="11"/>
  <c r="N68" i="11"/>
  <c r="G62" i="11"/>
  <c r="N61" i="11"/>
  <c r="G61" i="11"/>
  <c r="N60" i="11"/>
  <c r="G60" i="11"/>
  <c r="N59" i="11"/>
  <c r="G59" i="11"/>
  <c r="N58" i="11"/>
  <c r="G58" i="11"/>
  <c r="N57" i="11"/>
  <c r="G57" i="11"/>
  <c r="N46" i="11"/>
  <c r="A47" i="11" s="1"/>
  <c r="N45" i="11"/>
  <c r="N44" i="11"/>
  <c r="N43" i="11"/>
  <c r="N42" i="11"/>
  <c r="N41" i="11"/>
  <c r="N40" i="11"/>
  <c r="N39" i="11"/>
  <c r="N38" i="11"/>
  <c r="N37" i="11"/>
  <c r="E37" i="11"/>
  <c r="D37" i="11"/>
  <c r="N36" i="11"/>
  <c r="E36" i="11"/>
  <c r="D36" i="11"/>
  <c r="N35" i="11"/>
  <c r="N34" i="11"/>
  <c r="N33" i="11"/>
  <c r="E33" i="11"/>
  <c r="D33" i="11"/>
  <c r="N32" i="11"/>
  <c r="N31" i="11"/>
  <c r="E31" i="11"/>
  <c r="D31" i="11"/>
  <c r="N30" i="11"/>
  <c r="N29" i="11"/>
  <c r="E29" i="11"/>
  <c r="D29" i="11"/>
  <c r="N28" i="11"/>
  <c r="N27" i="11"/>
  <c r="N26" i="11"/>
  <c r="N25" i="11"/>
  <c r="N24" i="11"/>
  <c r="N23" i="11"/>
  <c r="E23" i="11"/>
  <c r="D23" i="11"/>
  <c r="N22" i="11"/>
  <c r="N21" i="11"/>
  <c r="N20" i="11"/>
  <c r="N19" i="11"/>
  <c r="N18" i="11"/>
  <c r="M18" i="11"/>
  <c r="D14" i="11" s="1"/>
  <c r="M46" i="11" s="1"/>
  <c r="N17" i="11"/>
  <c r="N16" i="11"/>
  <c r="N15" i="11"/>
  <c r="N14" i="11"/>
  <c r="M14" i="11"/>
  <c r="E14" i="11"/>
  <c r="E8" i="17" l="1"/>
  <c r="D6" i="19"/>
  <c r="E28" i="18"/>
  <c r="E20" i="18"/>
  <c r="E12" i="18"/>
  <c r="E4" i="18"/>
  <c r="E9" i="17"/>
  <c r="D11" i="19"/>
  <c r="D3" i="19"/>
  <c r="E25" i="18"/>
  <c r="E17" i="18"/>
  <c r="E9" i="18"/>
  <c r="E10" i="17"/>
  <c r="E2" i="17"/>
  <c r="D8" i="19"/>
  <c r="E30" i="18"/>
  <c r="E22" i="18"/>
  <c r="E14" i="18"/>
  <c r="E6" i="18"/>
  <c r="E11" i="17"/>
  <c r="E3" i="17"/>
  <c r="D5" i="19"/>
  <c r="E27" i="18"/>
  <c r="E19" i="18"/>
  <c r="E11" i="18"/>
  <c r="E3" i="18"/>
  <c r="E4" i="17"/>
  <c r="D10" i="19"/>
  <c r="D2" i="19"/>
  <c r="E24" i="18"/>
  <c r="E16" i="18"/>
  <c r="E8" i="18"/>
  <c r="E5" i="17"/>
  <c r="D7" i="19"/>
  <c r="E29" i="18"/>
  <c r="E21" i="18"/>
  <c r="E13" i="18"/>
  <c r="E5" i="18"/>
  <c r="E6" i="17"/>
  <c r="D12" i="19"/>
  <c r="D4" i="19"/>
  <c r="E26" i="18"/>
  <c r="E18" i="18"/>
  <c r="E10" i="18"/>
  <c r="E2" i="18"/>
  <c r="E7" i="17"/>
  <c r="D9" i="19"/>
  <c r="E31" i="18"/>
  <c r="E23" i="18"/>
  <c r="E15" i="18"/>
  <c r="E7" i="18"/>
  <c r="P8" i="11"/>
  <c r="R16" i="11"/>
  <c r="P30" i="11"/>
  <c r="O3" i="11"/>
  <c r="A12" i="11"/>
  <c r="F20" i="11"/>
  <c r="Z30" i="11"/>
  <c r="F45" i="11"/>
  <c r="H57" i="11"/>
  <c r="H59" i="11"/>
  <c r="H61" i="11"/>
  <c r="B67" i="11"/>
  <c r="A101" i="11"/>
  <c r="Z28" i="11"/>
  <c r="M13" i="11"/>
  <c r="V27" i="11"/>
  <c r="B36" i="11"/>
  <c r="Z16" i="11"/>
  <c r="F29" i="11"/>
  <c r="F38" i="11"/>
  <c r="A55" i="11"/>
  <c r="A4" i="11"/>
  <c r="P12" i="11"/>
  <c r="V15" i="11"/>
  <c r="F17" i="11"/>
  <c r="B31" i="11"/>
  <c r="Z33" i="11"/>
  <c r="F36" i="11"/>
  <c r="F42" i="11"/>
  <c r="P55" i="11"/>
  <c r="G67" i="11"/>
  <c r="A102" i="11"/>
  <c r="F24" i="11"/>
  <c r="P22" i="11"/>
  <c r="P40" i="11"/>
  <c r="F26" i="11"/>
  <c r="F32" i="11"/>
  <c r="A13" i="11"/>
  <c r="Z15" i="11"/>
  <c r="F21" i="11"/>
  <c r="F23" i="11"/>
  <c r="R26" i="11"/>
  <c r="P28" i="11"/>
  <c r="R29" i="11"/>
  <c r="V32" i="11"/>
  <c r="F34" i="11"/>
  <c r="F39" i="11"/>
  <c r="P45" i="11"/>
  <c r="A56" i="11"/>
  <c r="A58" i="11"/>
  <c r="A60" i="11"/>
  <c r="A62" i="11"/>
  <c r="K67" i="11"/>
  <c r="A80" i="11"/>
  <c r="P102" i="11"/>
  <c r="D13" i="11"/>
  <c r="A10" i="11"/>
  <c r="F19" i="11"/>
  <c r="V31" i="11"/>
  <c r="R15" i="11"/>
  <c r="F28" i="11"/>
  <c r="A6" i="11"/>
  <c r="F14" i="11"/>
  <c r="A8" i="11"/>
  <c r="B13" i="11"/>
  <c r="F16" i="11"/>
  <c r="F18" i="11"/>
  <c r="F27" i="11"/>
  <c r="R28" i="11"/>
  <c r="Z29" i="11"/>
  <c r="Z32" i="11"/>
  <c r="B37" i="11"/>
  <c r="F43" i="11"/>
  <c r="R45" i="11"/>
  <c r="F56" i="11"/>
  <c r="M67" i="11"/>
  <c r="O80" i="11"/>
  <c r="A103" i="11"/>
  <c r="F30" i="11"/>
  <c r="F31" i="11"/>
  <c r="B33" i="11"/>
  <c r="F35" i="11"/>
  <c r="F40" i="11"/>
  <c r="K46" i="11"/>
  <c r="H56" i="11"/>
  <c r="H58" i="11"/>
  <c r="H60" i="11"/>
  <c r="P62" i="11"/>
  <c r="A81" i="11"/>
  <c r="A2" i="11"/>
  <c r="A9" i="11"/>
  <c r="F13" i="11"/>
  <c r="R14" i="11"/>
  <c r="P16" i="11"/>
  <c r="R27" i="11"/>
  <c r="B29" i="11"/>
  <c r="F44" i="11"/>
  <c r="M56" i="11"/>
  <c r="A63" i="11"/>
  <c r="P68" i="11"/>
  <c r="P97" i="11"/>
  <c r="G3" i="15"/>
  <c r="A100" i="11"/>
  <c r="G4" i="15"/>
  <c r="F22" i="11"/>
  <c r="F2" i="11"/>
  <c r="F15" i="11"/>
  <c r="F25" i="11"/>
  <c r="F37" i="11"/>
  <c r="A57" i="11"/>
  <c r="A59" i="11"/>
  <c r="A61" i="11"/>
  <c r="A66" i="11"/>
  <c r="P2" i="11"/>
  <c r="I10" i="11"/>
  <c r="B14" i="11"/>
  <c r="V16" i="11"/>
  <c r="B23" i="11"/>
  <c r="Z27" i="11"/>
  <c r="V30" i="11"/>
  <c r="Z31" i="11"/>
  <c r="F33" i="11"/>
  <c r="F41" i="11"/>
  <c r="R44" i="11"/>
  <c r="A67" i="11"/>
  <c r="K78" i="11"/>
</calcChain>
</file>

<file path=xl/sharedStrings.xml><?xml version="1.0" encoding="utf-8"?>
<sst xmlns="http://schemas.openxmlformats.org/spreadsheetml/2006/main" count="578" uniqueCount="418">
  <si>
    <t>kg</t>
  </si>
  <si>
    <t>Glass</t>
  </si>
  <si>
    <t>Metals</t>
  </si>
  <si>
    <t>Kovy</t>
  </si>
  <si>
    <t>Sklo</t>
  </si>
  <si>
    <t>Hmotnost</t>
  </si>
  <si>
    <t>Materiál</t>
  </si>
  <si>
    <t>Regulace materiálů je sledována s ohledem na snížení dopadu na životní prostředí.</t>
  </si>
  <si>
    <t>Mass</t>
  </si>
  <si>
    <t>Mineral wool</t>
  </si>
  <si>
    <t>FE metals</t>
  </si>
  <si>
    <t>Non-FE metals</t>
  </si>
  <si>
    <t>Elastomers (unfilled)</t>
  </si>
  <si>
    <t>Thermoplastics (unfilled)</t>
  </si>
  <si>
    <t>Thermoplastics (glass filled)</t>
  </si>
  <si>
    <t>Thermosets (unfilled)</t>
  </si>
  <si>
    <t>Thermosets (glass filled)</t>
  </si>
  <si>
    <t>Carbon or natural fiber reinforced polymers</t>
  </si>
  <si>
    <t>Safety Glass (shatterproof glass)</t>
  </si>
  <si>
    <t>Oil, grease or similar</t>
  </si>
  <si>
    <t>Ceramics</t>
  </si>
  <si>
    <t>Železné kovy</t>
  </si>
  <si>
    <t>Neželezné kovy</t>
  </si>
  <si>
    <t>1a</t>
  </si>
  <si>
    <t>1b</t>
  </si>
  <si>
    <t>1c</t>
  </si>
  <si>
    <t>2a</t>
  </si>
  <si>
    <t>2b</t>
  </si>
  <si>
    <t>2c</t>
  </si>
  <si>
    <t>2d</t>
  </si>
  <si>
    <t>Minerální vlna</t>
  </si>
  <si>
    <t>Termoplasty (bez výplně)</t>
  </si>
  <si>
    <t>Termoplasty (skleněná výplň)</t>
  </si>
  <si>
    <t>Bezpečnostní sklo (netříštivé sklo)</t>
  </si>
  <si>
    <t>Keramika</t>
  </si>
  <si>
    <t>Acids and cooling agents or similar</t>
  </si>
  <si>
    <t>Kyseliny a chladící látky nebo podobné</t>
  </si>
  <si>
    <t>Gases</t>
  </si>
  <si>
    <t>Plyny</t>
  </si>
  <si>
    <t>MONM</t>
  </si>
  <si>
    <t>Other</t>
  </si>
  <si>
    <t>Index</t>
  </si>
  <si>
    <t>Olej, mazací tuk nebo podobné</t>
  </si>
  <si>
    <t>Material product composition</t>
  </si>
  <si>
    <t xml:space="preserve">          Cast iron</t>
  </si>
  <si>
    <t xml:space="preserve">          Steel</t>
  </si>
  <si>
    <t xml:space="preserve">          Al - Aluminium and its alloys</t>
  </si>
  <si>
    <t xml:space="preserve">          Cu - Copper and its alloys</t>
  </si>
  <si>
    <t xml:space="preserve">          Zn - Zinc and its alloys</t>
  </si>
  <si>
    <t xml:space="preserve">          Ag - Silver</t>
  </si>
  <si>
    <t xml:space="preserve">          Au - Gold</t>
  </si>
  <si>
    <t xml:space="preserve">          Litina</t>
  </si>
  <si>
    <t xml:space="preserve">          Ocel</t>
  </si>
  <si>
    <t xml:space="preserve">          Al - Hliník a jeho slitiny</t>
  </si>
  <si>
    <t xml:space="preserve">          Cu - Měd a jeho slitiny</t>
  </si>
  <si>
    <t xml:space="preserve">          Zn - Zinek a jeho slitiny</t>
  </si>
  <si>
    <t xml:space="preserve">          Ag - Stříbro</t>
  </si>
  <si>
    <t xml:space="preserve">          Au - Zlato</t>
  </si>
  <si>
    <t>Olejové filtry</t>
  </si>
  <si>
    <t>Oil filters</t>
  </si>
  <si>
    <t>Sand</t>
  </si>
  <si>
    <t>Fire extinguishers</t>
  </si>
  <si>
    <t>Hasicí přístroje</t>
  </si>
  <si>
    <t>Písek</t>
  </si>
  <si>
    <t>CZ</t>
  </si>
  <si>
    <t>EN</t>
  </si>
  <si>
    <t>DE</t>
  </si>
  <si>
    <t>Ostatní</t>
  </si>
  <si>
    <t>Language</t>
  </si>
  <si>
    <t>Language selection</t>
  </si>
  <si>
    <t>Materiálové složení produktu</t>
  </si>
  <si>
    <t>Výrobce:</t>
  </si>
  <si>
    <t>Model / typ:</t>
  </si>
  <si>
    <t>Model type:</t>
  </si>
  <si>
    <t>Hmotnost produktu:</t>
  </si>
  <si>
    <t>Produkt mass:</t>
  </si>
  <si>
    <t>Materiálový rozpad</t>
  </si>
  <si>
    <t>Skupina</t>
  </si>
  <si>
    <t>Group</t>
  </si>
  <si>
    <t>Material</t>
  </si>
  <si>
    <t>Materials composition</t>
  </si>
  <si>
    <t>Kůže, dřevo, bavlna, fleece …</t>
  </si>
  <si>
    <t>Leather, wood, cotton, fleece …</t>
  </si>
  <si>
    <t>Modified organic natural materials</t>
  </si>
  <si>
    <t>Carbonem nebo přírod. vláknem vystuž. polymery</t>
  </si>
  <si>
    <t>Elektrické / elektronické komponenty</t>
  </si>
  <si>
    <t>Electric / Electronic components</t>
  </si>
  <si>
    <t>Termoplasty</t>
  </si>
  <si>
    <t>Thermosets</t>
  </si>
  <si>
    <t>Thermoplastics</t>
  </si>
  <si>
    <t>Glass fibres</t>
  </si>
  <si>
    <t>Natural fibres</t>
  </si>
  <si>
    <t>Skelná výplň</t>
  </si>
  <si>
    <t>Přírodní výplň</t>
  </si>
  <si>
    <t>Polyethylen PE</t>
  </si>
  <si>
    <t>Polyamid PA 6</t>
  </si>
  <si>
    <t>Polytetrafluorethylen PTFE</t>
  </si>
  <si>
    <t>Polyamid 6.6</t>
  </si>
  <si>
    <t>Polycarbonat PC</t>
  </si>
  <si>
    <t>Polyurethane PUR</t>
  </si>
  <si>
    <t>Polyvinychlorid PVC</t>
  </si>
  <si>
    <t>Acryl Butadien Styrene ABS</t>
  </si>
  <si>
    <t>Polypropylene PP</t>
  </si>
  <si>
    <t>Polystyrene PS</t>
  </si>
  <si>
    <t>Epoxy resin</t>
  </si>
  <si>
    <t>Phenolic resin</t>
  </si>
  <si>
    <t>Polyester resin</t>
  </si>
  <si>
    <t xml:space="preserve">          As - Arsenic</t>
  </si>
  <si>
    <t xml:space="preserve">          As - Arsen</t>
  </si>
  <si>
    <t xml:space="preserve">          Pb - Lead</t>
  </si>
  <si>
    <t xml:space="preserve">          Cd - Cadmium</t>
  </si>
  <si>
    <t xml:space="preserve">          Co - Cobalt</t>
  </si>
  <si>
    <t xml:space="preserve">          Cr - Chromium</t>
  </si>
  <si>
    <t xml:space="preserve">          Hg - Mercury</t>
  </si>
  <si>
    <t xml:space="preserve">          Ni - Nickel</t>
  </si>
  <si>
    <t xml:space="preserve">          V - Vanadium</t>
  </si>
  <si>
    <t xml:space="preserve">          Cd - Kadmium</t>
  </si>
  <si>
    <t xml:space="preserve">          Co - Kobalt</t>
  </si>
  <si>
    <t xml:space="preserve">          Cr - Chrom</t>
  </si>
  <si>
    <t xml:space="preserve">          Hg - Rtuť</t>
  </si>
  <si>
    <t xml:space="preserve">          Ni - Nikl</t>
  </si>
  <si>
    <t xml:space="preserve">          V - Vanad</t>
  </si>
  <si>
    <t>Reaktoplasty (bez výplně)</t>
  </si>
  <si>
    <t>Reaktoplasty (skleněná výplň)</t>
  </si>
  <si>
    <t xml:space="preserve">          Nerezová ocel</t>
  </si>
  <si>
    <t xml:space="preserve">          Stainless steel</t>
  </si>
  <si>
    <t>Ocel</t>
  </si>
  <si>
    <t>Nerezová ocel</t>
  </si>
  <si>
    <t>Litina</t>
  </si>
  <si>
    <t>Silikon</t>
  </si>
  <si>
    <t xml:space="preserve">          Ostatní kovy</t>
  </si>
  <si>
    <t xml:space="preserve">          Other metals</t>
  </si>
  <si>
    <t xml:space="preserve">          Pb - Olovo</t>
  </si>
  <si>
    <t>Polymery, kromě elastomerů</t>
  </si>
  <si>
    <t>Polymers excluding elastomers</t>
  </si>
  <si>
    <t>Elastomery</t>
  </si>
  <si>
    <t>Elastomers</t>
  </si>
  <si>
    <t>Kapaliny a plyny</t>
  </si>
  <si>
    <t>Fluids and gases</t>
  </si>
  <si>
    <t>Baterie  (větší 100 g)</t>
  </si>
  <si>
    <t>Kondenzátory (větší 100 g)</t>
  </si>
  <si>
    <t>Capacitors (greater 100 g)</t>
  </si>
  <si>
    <t>Sledované / Regulované materiály</t>
  </si>
  <si>
    <t>Monitored / Regulated materials</t>
  </si>
  <si>
    <t>CAS číslo</t>
  </si>
  <si>
    <t>CAS Number</t>
  </si>
  <si>
    <t>Categ.</t>
  </si>
  <si>
    <t>Kateg.</t>
  </si>
  <si>
    <t>Identifikace pro předběžnou úpravu</t>
  </si>
  <si>
    <t>Identification for pretreatment</t>
  </si>
  <si>
    <t>Zařízení / Materiál / Látka</t>
  </si>
  <si>
    <t>Device / Material / Substance</t>
  </si>
  <si>
    <t>Umístění v zařízení</t>
  </si>
  <si>
    <t>Location in device</t>
  </si>
  <si>
    <t>Producer:</t>
  </si>
  <si>
    <t>Datum:</t>
  </si>
  <si>
    <t>Podpis:</t>
  </si>
  <si>
    <t>E-mail:</t>
  </si>
  <si>
    <t>Telefon:</t>
  </si>
  <si>
    <t>This document derived from International standard ISO 22628:2002.</t>
  </si>
  <si>
    <t>Odvozeno od normy ISO 22628:2002.</t>
  </si>
  <si>
    <t>Date:</t>
  </si>
  <si>
    <t>Odpovědná osoba:</t>
  </si>
  <si>
    <t>Responsible person:</t>
  </si>
  <si>
    <t>Phone:</t>
  </si>
  <si>
    <t>Unterschrift:</t>
  </si>
  <si>
    <t>Signature:</t>
  </si>
  <si>
    <t>Celkem:</t>
  </si>
  <si>
    <t>Total:</t>
  </si>
  <si>
    <t>Reaktoplasty</t>
  </si>
  <si>
    <t>Vystužené:</t>
  </si>
  <si>
    <t>Reinforced by:</t>
  </si>
  <si>
    <t>Polymery</t>
  </si>
  <si>
    <t>Polymers</t>
  </si>
  <si>
    <t>EPDM</t>
  </si>
  <si>
    <t>Ostatní polymery</t>
  </si>
  <si>
    <t>Other polymers</t>
  </si>
  <si>
    <t>Steel</t>
  </si>
  <si>
    <t>Stainless steel</t>
  </si>
  <si>
    <t>Cast iron</t>
  </si>
  <si>
    <t>Slitiny železa, uhlíku a dalších legujících prvků. Obsah uhlíku do 2,14 %,a dalších legujících prvků do 5 %.</t>
  </si>
  <si>
    <t>Slitiny železa, uhlíku a dalších legujících prvků. Obsah uhlíku do 2,14 %,a dalších legujících prvků nad 5 %.</t>
  </si>
  <si>
    <t>Slitiny železa a uhlíku. Obsah uhlíku nad 2,14 %.</t>
  </si>
  <si>
    <t>Popis materiálů</t>
  </si>
  <si>
    <t>Epoxidová pryskyřice</t>
  </si>
  <si>
    <t>Fenolová pryskyřice</t>
  </si>
  <si>
    <t>Polyesterová pryskyřice</t>
  </si>
  <si>
    <t>Upravené přírodní organické materiály</t>
  </si>
  <si>
    <t>Podrobné vysvětlení k vyplnění nabízí norma ISO 22628, nebo dokument "PRODUCT CATEGORY RULES" (UNCPC CODE:495; PRC 2009:05), který se zabývá environmentálním programem kolejového vozidla, od jeho výroby po koncovou likvidaci.</t>
  </si>
  <si>
    <t>Za slitinu hliníku (mědi, zinku) považujeme takovou slitinu, kde je hliník (měď, zinek) zastoupen v nadpolovičním množství.</t>
  </si>
  <si>
    <t>Předáním tohoto dokumentu Dodavatel potvrzuje pravdivost doplněních dat a plnění uvedených podmínek.</t>
  </si>
  <si>
    <t>The device is in accordance with the Regulation no. 1907/2006 (REACH) of the European Parliament and of the Council.</t>
  </si>
  <si>
    <t>The device is in accordance with Directive 2011/65/EU (RoHS 2) of European Parliament and Council. (For electrical and electronic equipment)</t>
  </si>
  <si>
    <t>Dodavatel musí uplatňovat a respektovat seznam látek REACH ES č. 1907/2006, článek 59, který popisuje látky s velmi nebezpečnými vlastnostmi. Tyto látky nesmějí být součástí materiálů, produktů nebo chemických směsí, které jsou použity na vozidle. Pokud jsou použité látky dle ES č. 1907/2006, článek 31, musí být bezpečnostní listy dodány spolu s tímto dokumentem.
Dodavatel musí uplatňovat a splňovat ustanovení vycházející ze směrnice Evropského parlamentu a Rady 2011/65/EU ze dne 8. června 2011 o omezení používání některých nebezpečných látek v elektrických a elektronických zařízeních (RoHS2).</t>
  </si>
  <si>
    <t>TD039253</t>
  </si>
  <si>
    <t xml:space="preserve">Produkt-Materialzusammenstellung </t>
  </si>
  <si>
    <t>Abgeleitet von der Norm ISO 22628:2002.</t>
  </si>
  <si>
    <t>Hersteller:</t>
  </si>
  <si>
    <t>Modell / Typ:</t>
  </si>
  <si>
    <t>Produktgewicht:</t>
  </si>
  <si>
    <t>Werkstoffzusammensetzung</t>
  </si>
  <si>
    <t>Gewicht</t>
  </si>
  <si>
    <t>Gruppe</t>
  </si>
  <si>
    <t>Überwachte / regulierte Materialien</t>
  </si>
  <si>
    <t>Die Regulierung von Materialien wird überwacht, um die 
Auswirkungen auf die Umwelt zu reduzieren.</t>
  </si>
  <si>
    <t>Eisenmetalle</t>
  </si>
  <si>
    <t xml:space="preserve">         Stahl</t>
  </si>
  <si>
    <t xml:space="preserve">         Edelstahl</t>
  </si>
  <si>
    <t xml:space="preserve">         Gusseisen</t>
  </si>
  <si>
    <t>Nichteisenmetalle</t>
  </si>
  <si>
    <t xml:space="preserve">          Al - Aluminium und seine Legierungen</t>
  </si>
  <si>
    <t xml:space="preserve">          Cu - Kupfer und seine Legierungen</t>
  </si>
  <si>
    <t xml:space="preserve">          Zn - Zink und seine Legierungen</t>
  </si>
  <si>
    <t xml:space="preserve">          Sonstige Metalle</t>
  </si>
  <si>
    <t>Thermoplaste (ungefüllt)</t>
  </si>
  <si>
    <t>Thermoplaste (glasgefüllt)</t>
  </si>
  <si>
    <t>Härtbare Formmassen (ungefüllt)</t>
  </si>
  <si>
    <t>Härtbare Formmassen (glasgefüllt)</t>
  </si>
  <si>
    <t>Durch Karbon oder Naturfasern verstärkte Polymere</t>
  </si>
  <si>
    <t>Sonstige Polymere</t>
  </si>
  <si>
    <t>Glas</t>
  </si>
  <si>
    <t>Sicherheitsglas (splittersicheres Glas)</t>
  </si>
  <si>
    <t>Öl, Fett oder ähnliche Stoffe</t>
  </si>
  <si>
    <t>Säuren und Kühlmittel oder ähnliche Stoffe</t>
  </si>
  <si>
    <t>Gase</t>
  </si>
  <si>
    <t>Modifizierte organische Naturmaterialien</t>
  </si>
  <si>
    <t>Keramik</t>
  </si>
  <si>
    <t>Mineralwolle</t>
  </si>
  <si>
    <t>Elektrische / elektronische Komponenten</t>
  </si>
  <si>
    <t>Batterien (grösser als 100 g)</t>
  </si>
  <si>
    <t>Kondensatoren (grösser als 100 g)</t>
  </si>
  <si>
    <t>Ölfilter</t>
  </si>
  <si>
    <t>Feuerlöscher</t>
  </si>
  <si>
    <t>Metalle</t>
  </si>
  <si>
    <t>Polymere, außer Elastomere</t>
  </si>
  <si>
    <t>Elastomere</t>
  </si>
  <si>
    <t>Flüssigkeiten und Gase</t>
  </si>
  <si>
    <t>Sonstige</t>
  </si>
  <si>
    <t xml:space="preserve">          Ag - Silber</t>
  </si>
  <si>
    <t xml:space="preserve">          Hg - Quecksilber</t>
  </si>
  <si>
    <t xml:space="preserve">          Pb - Blei</t>
  </si>
  <si>
    <t>Identifikation für Vorbehandlung</t>
  </si>
  <si>
    <t>CAS Nummer</t>
  </si>
  <si>
    <t>Einrichtung / Material / Stoff</t>
  </si>
  <si>
    <t>Anordnung in der Einrichtung</t>
  </si>
  <si>
    <t>Insgesamt:</t>
  </si>
  <si>
    <t>Verantwortliche Person:</t>
  </si>
  <si>
    <t>E-Mail:</t>
  </si>
  <si>
    <t>Polymere</t>
  </si>
  <si>
    <t>Thermoplaste</t>
  </si>
  <si>
    <t>Härtbare Formmassen</t>
  </si>
  <si>
    <t>Verstärkt:</t>
  </si>
  <si>
    <t>Glasfasern</t>
  </si>
  <si>
    <t>Naturfasern</t>
  </si>
  <si>
    <t>Materialien-Beschreibung</t>
  </si>
  <si>
    <t>Epoxidharz</t>
  </si>
  <si>
    <t>Phenolharz</t>
  </si>
  <si>
    <t>Polyesterharz</t>
  </si>
  <si>
    <t>Leder, Holz, Baumwolle, Fleece...</t>
  </si>
  <si>
    <t>Stahl</t>
  </si>
  <si>
    <t>Edelstahl</t>
  </si>
  <si>
    <t>Gusseisen</t>
  </si>
  <si>
    <t>Eisen-und Kohlenstofflegierungen. Kohlenstoffgehalt mehr als 2,14 %.</t>
  </si>
  <si>
    <t>Füllen Sie alle Gewichte der einzelnen Materialien gemäß der 
folgenden Klassifizierung aus;</t>
  </si>
  <si>
    <t>Für eine Aluminiumlegierung (Kupfer-, Zink-) betrachten wir eine solche Legierung, bei der Aluminium (Kupfer, Zink) in einer überhälftigen Menge vorliegt.</t>
  </si>
  <si>
    <t>Füllen Sie das Gewicht aller vorgeschriebenen Materialien aus;
Diese Materialien werden seitens ŠKODA TRANSPORTATION a.s. überwacht und reguliert, um die Umweltbelastung zu reduzieren.
Wenn die Menge der überwachten / regulierten Materialien nicht genau ausgefüllt werden kann, ist es möglich, die obere Grenze auszu füllen oder, wenn keine Information vorhanden ist, das Feld leer zu lassen.</t>
  </si>
  <si>
    <t>Wählen Sie eine Kategorie aus;
Füllen Sie die Anordnung in der Einrichtung aus, wenn die Information relevant ist;
Füllen Sie die CAS-Nummer aus, wenn die Information relevant ist; Die CAS-Nummer ermöglicht eine eindeutige Identifizierung des verwendeten Stoffes
Füllen Sie das Gewicht aus;</t>
  </si>
  <si>
    <t>Füllen Sie die verantwortliche Person und Kontaktdaten aus;
Senden Sie an die Kontaktperson die unterschriebene DE-Version des Materialdatenblattes im PDF-Format und diese ausgefüllte Excel-Datei zu.</t>
  </si>
  <si>
    <t>Eine ausführliche Erklärung zur Ausfüllung bietet die Norm ISO 22628, oder das Dokument "PRODUCT CATEGORY RULES" (UNCPC CODE:495; PRC 2009:05), das sich mit dem Umweltprogramm des Schienenfahrzeugs, von seiner Herstellung bis zur endgültigen Entsorgung, befasst.</t>
  </si>
  <si>
    <t>Rev.</t>
  </si>
  <si>
    <t>Der Lieferant muss die Auflistung mit Stoffen REACH EG Nr. 1907/2006, Artikel 59, die die Stoffe mit sehr gefährlichen Eigenschaften beschreibt, anwenden und respektieren. Diese Stoffe dürfen nicht Bestandteil der Materialien, Produkte oder chemischen Gemische, die im Fahrzeug verwendet werden, sein. Bei Verwendung von Stoffen gemäß EG Nr. 1907/2006, Artikel 31, müssen die Sicherheitsdatenblätter diesem Dokument beiliegen.
Der Lieferant muss die Bestimmungen der Richtlinie 2011/65 / EU des Europäischen Parlaments und des Rates vom 8. Juni 2011 zur Beschränkung der Verwendung bestimmter gefährlicher Stoffe in Elektro- und Elektronikgeräten (RoHS2) anwenden und einhalten.</t>
  </si>
  <si>
    <t>Der Lieferant bestätigt durch Übergabe dieses Dokuments die Wahrhaftigkeit der ergänzten Daten und die Erfüllung dieser Bedingungen.</t>
  </si>
  <si>
    <t>Die anderen Polymere umfassen solche Polymer-Materialien (verstärkt und nicht verstärkt), die nicht den anderen Kategorien entsprechen.</t>
  </si>
  <si>
    <t>Legierungen aus Eisen, Kohlenstoff und weiteren Legierungselementen. Kohlenstoffgehalt bis 2,14 % und Gehalt weiterer Legierungselemen bis 5 %.</t>
  </si>
  <si>
    <t>Legierungen aus Eisen, Kohlenstoff und weiteren Legierungselementen. Kohlenstoffgehalt bis 2,14 % und Gehalt weiterer Legierungselemen mehr als 5 %.</t>
  </si>
  <si>
    <t>Zařízení je v souladu s nařízením Evropského parlamentu a Rady (ES) č. 1907/2006 (REACH).</t>
  </si>
  <si>
    <t>Zařízení je v souladu se směrnicí Evropského parlamentu a Rady č. 2011/65/EC (RoHS 2). (Pro elektrická a elektronická zařízení)</t>
  </si>
  <si>
    <t>Die Einrichtung entspricht der Richtlinie Nr. 2011/65/EC (RoHS 2) des Europäischen Parlaments und des Rates. (Für Elektro- und Elektronikgeräte)</t>
  </si>
  <si>
    <t>Die Einrichtung entspricht der Verordnung Nr.1907/2006 (REACH) des Europäischen Parlaments und des Rates (EG).</t>
  </si>
  <si>
    <t>Material description</t>
  </si>
  <si>
    <t>Rubber</t>
  </si>
  <si>
    <t>Silicone</t>
  </si>
  <si>
    <t>Alloys of iron, carbon and other alloying elements. Carbon content up to 2.14% and other alloying elements up to 5%.</t>
  </si>
  <si>
    <t>Alloys of iron, carbon and other alloying elements. Carbon content up to 2.14% and other alloying elements above 5%.</t>
  </si>
  <si>
    <t>Iron and carbon alloys. Carbon content above 2.14%.</t>
  </si>
  <si>
    <t>Wählen Sie die Dokumentsprache aus;</t>
  </si>
  <si>
    <t>Select your document language;</t>
  </si>
  <si>
    <t>For aluminum alloys (copper, zinc) is considered such an alloy in which aluminum (copper, zinc) represented more than half the amount.</t>
  </si>
  <si>
    <t>Mezi ostatní polymery patří takové polymerní materiály (vystužené i nevystužené), které neodpovídají ostatním kategoriím.</t>
  </si>
  <si>
    <t>Among other polymers include such polymeric material resources (reinforced and unreinforced), which do not correspond to other categories.</t>
  </si>
  <si>
    <t>Fill the weight of all prescribed materials;
These materials ŠKODA intends to monitor and regulate with a view to reducing environmental impact.
If the quantity of monitored / controlled material can not be accurately filled, it is possible to fill in the upper limit or, if there is no information, to leave the field blank.</t>
  </si>
  <si>
    <t>Select a category;
Fill the location on the device if the information is relevant;
Fill in the CAS number if the information is relevant; The CAS number allows unambiguous identification of the substance used
Fill the weight;</t>
  </si>
  <si>
    <t>Fill in responsible person and contact data;
Send to the contact person the signed EN version of the material sheet in PDF format and this completed excel file.</t>
  </si>
  <si>
    <t>Regulation of materials is monitored with respect to reducing the environmental impact.</t>
  </si>
  <si>
    <t>Batteries (greater 100 g)</t>
  </si>
  <si>
    <t>Detailed explanation offers the standard ISO 22 628, or document „PRODUCT CATEGORY RULES“ (UNCPC CODE: 495; 2009: 05), which deal with environmental program of rolling stock, from production of the vehicle to its disposal.</t>
  </si>
  <si>
    <t>Fill all the masses of the individual materials according to the following classification;</t>
  </si>
  <si>
    <t>The Supplier must apply and respect the list of REACH  (EC) no. 1907/2006, Article 59, which describes the substances with a very hazardous properties. These substances must not be included in the materials products or chemical compounds that are used on the vehicle. If the substance according to EC Article 1907/2006, Article 31, is used, the safety data sheets must be supplied with this document.
The Supplier must apply and fulfill provision resulting from Directive 2011/65/EU of the European Parliament and of the Council of 8 June 2011 on the restriction of the use of certain hazardous substances in electrical and electronic equipment (RoHS2).</t>
  </si>
  <si>
    <t>By submitting this document, the Supplier confirms the validity of the filled data and meeting the above mentioned conditions.</t>
  </si>
  <si>
    <t>.a</t>
  </si>
  <si>
    <t xml:space="preserve">          Freon</t>
  </si>
  <si>
    <t xml:space="preserve">          Asbestos</t>
  </si>
  <si>
    <t xml:space="preserve">          Azbest</t>
  </si>
  <si>
    <t xml:space="preserve">          Asbest</t>
  </si>
  <si>
    <t>%</t>
  </si>
  <si>
    <t>Jednotky:</t>
  </si>
  <si>
    <t>Unit:</t>
  </si>
  <si>
    <t>g</t>
  </si>
  <si>
    <t>kg/m</t>
  </si>
  <si>
    <t>kg/m²</t>
  </si>
  <si>
    <t>kg/m³</t>
  </si>
  <si>
    <t>t</t>
  </si>
  <si>
    <t>kg/l</t>
  </si>
  <si>
    <t>g/m</t>
  </si>
  <si>
    <t>g/m²</t>
  </si>
  <si>
    <t>g/m³</t>
  </si>
  <si>
    <t>g/l</t>
  </si>
  <si>
    <t>Fill in the manufacturer, model / type of equipment, product weight and select the unit for material composition;
The total mass must correspond to the real weight of the product with supplied operational fillings (consumables).</t>
  </si>
  <si>
    <t>Füllen Sie den Hersteller, das Modell / den Typ, Das Produktgewicht der Einrichtung aus und wählen Sie die Einheiten aus;
Das resultierende Gesamtgewicht muss dem tatsächlichen Gewicht des Produktes mit den gelieferten Betriebshilfsstoffen entsprechen.</t>
  </si>
  <si>
    <t>Einheiten:</t>
  </si>
  <si>
    <t>Fill in all the materials and chemicals intended for pretreatment before recycling;
In the pretreatment all consumables and hazardous substances are removed from the vehicle. Substances falling within the above categories 13, 14, 15, 20, 21, 22, 23, 24, 25 should be included here.</t>
  </si>
  <si>
    <t>Füllen Sie alle vorgesehenen Materialien und chemischen Stoffe für die Vorbehandlung des Fahrzeugs vor dem Recycling aus;
Während der Vorbehandlung werden aus dem Fahrzeug die Betriebshilfsstoffe abgelassen und Gefahrstoffe entfernt. Stoffe, die in die obigen Kategorien 13, 14, 15, 20, 21, 22, 23, 24, 25  fallen, sollten hier aufgenommen werden.</t>
  </si>
  <si>
    <t>g/mm</t>
  </si>
  <si>
    <t>kg/mm</t>
  </si>
  <si>
    <t>Celkový součet se nerovná hmotnosti produktu</t>
  </si>
  <si>
    <t>Celkový součet musí být 100 %</t>
  </si>
  <si>
    <t>The total sum must be 100%</t>
  </si>
  <si>
    <t>The total sum is not equal to the weight of the product</t>
  </si>
  <si>
    <t>Die Gesamtmenge ist nicht gleich dem Gewicht des Produkts</t>
  </si>
  <si>
    <t>CAS_NR</t>
  </si>
  <si>
    <t>LOCATION</t>
  </si>
  <si>
    <t>DEV_ MAT_SUB</t>
  </si>
  <si>
    <t>RATIO</t>
  </si>
  <si>
    <t>VALUE_UNITS</t>
  </si>
  <si>
    <t>FILLED_VALUE</t>
  </si>
  <si>
    <t>CATEGORY</t>
  </si>
  <si>
    <t>IDP_ID</t>
  </si>
  <si>
    <t>None</t>
  </si>
  <si>
    <t>Other metals</t>
  </si>
  <si>
    <t>Zn - Zinc and its alloys</t>
  </si>
  <si>
    <t>Cu - Copper and its alloys</t>
  </si>
  <si>
    <t>Al - Aluminium and its alloys</t>
  </si>
  <si>
    <t>SUB_GROUP</t>
  </si>
  <si>
    <t>GROUP</t>
  </si>
  <si>
    <t>MAT_NAME</t>
  </si>
  <si>
    <t>MATCOMP_ID</t>
  </si>
  <si>
    <t>Freon</t>
  </si>
  <si>
    <t>Asbestos</t>
  </si>
  <si>
    <t>V - Vanadium</t>
  </si>
  <si>
    <t>Pb - Lead</t>
  </si>
  <si>
    <t>Ni - Nickel</t>
  </si>
  <si>
    <t>Hg - Mercury</t>
  </si>
  <si>
    <t>Cr - Chromium</t>
  </si>
  <si>
    <t>Co - Cobalt</t>
  </si>
  <si>
    <t>Au - Gold</t>
  </si>
  <si>
    <t>As - Arsenic</t>
  </si>
  <si>
    <t>Ag - Silver</t>
  </si>
  <si>
    <t>MATERIAL</t>
  </si>
  <si>
    <t>MRM_ID</t>
  </si>
  <si>
    <t>Termoplastické elastomery</t>
  </si>
  <si>
    <t>Elastomery (bez výplně)</t>
  </si>
  <si>
    <t>Thermoplastische Elastomere</t>
  </si>
  <si>
    <t>Thermoplastic elastomers</t>
  </si>
  <si>
    <t>Pryž, guma, kaučuk</t>
  </si>
  <si>
    <t>Gummi, kautschuk</t>
  </si>
  <si>
    <t>Elastomery (s výplní)</t>
  </si>
  <si>
    <t>Elastomers (filled)</t>
  </si>
  <si>
    <t>Elastomere (ungefüllt)</t>
  </si>
  <si>
    <t>Elastomere (gefüllt)</t>
  </si>
  <si>
    <t>Die Gesamtsumme muss 100% sein</t>
  </si>
  <si>
    <t>CAT_TAB</t>
  </si>
  <si>
    <t>UNITS</t>
  </si>
  <si>
    <t>Bez výplně</t>
  </si>
  <si>
    <t>S výplní</t>
  </si>
  <si>
    <t>Filled</t>
  </si>
  <si>
    <t>Unfilled</t>
  </si>
  <si>
    <t>Ungefüllt</t>
  </si>
  <si>
    <t>Gefüllt</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</si>
  <si>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</si>
  <si>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</si>
  <si>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</si>
  <si>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</si>
  <si>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</si>
  <si>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</si>
  <si>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</si>
  <si>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</si>
  <si>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</si>
  <si>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</si>
  <si>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</si>
  <si>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</si>
  <si>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</si>
  <si>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</si>
  <si>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</si>
  <si>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</si>
  <si>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</si>
  <si>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</si>
  <si>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</si>
  <si>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</si>
  <si>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</si>
  <si>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</si>
  <si>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</si>
  <si>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</si>
  <si>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</si>
  <si>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</si>
  <si>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</si>
  <si>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</si>
  <si>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</si>
  <si>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</si>
  <si>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Výběr jazyka dokumentu;</t>
  </si>
  <si>
    <t>Vyplnit výrobce, model / typ zařízení, hmotnost produktu a vybrat jednotky pro materiálové složení;
Výsledná celková hmotnost musí odpovídat reálně hmotnosti produktu s dodávanými provozními náplněmi.</t>
  </si>
  <si>
    <t>Vyplnit všechny hmotnosti jednotlivých materiálů dle následujícího třídění;</t>
  </si>
  <si>
    <t>Vyplnit hmotnost všech předepsaných materiálů;
Tyto materiály hodlá ŠKODA TRANSPORTATION a.s. sledovat a regulovat s ohledem na snížení dopadu na životní prostředí.
V případě, že nelze přesně vyplnit množství sledovaných / regulovaných materiálů, je možné vyplnit horní mez nebo pokud není žádná informace nechat pole prázdné.</t>
  </si>
  <si>
    <t>Vyplnit veškeré materiály a chemické látky určené pro předběžnou úpravu vozidla před recyklací;
Při předběžné úpravě jsou z vozidla vypuštěny provozní náplně a odstraňeny nebezpečné látky. Měly by zde být uvedeny látky spadající do výše uvedených katergorií 13, 14, 15, 20, 21, 22, 23, 24, 25.</t>
  </si>
  <si>
    <t>Vybrat kategorii;
Vyplnit umístění v zařízení, pokud je informace relevantní;
Vyplnit CAS číslo, pokud je informace relevantní; CAS číslo umožňuje jednoznačnou identifikaci použité látky
Vyplnit hmotnost;</t>
  </si>
  <si>
    <t>Vyplnit odpovědnou osobu a kontatkní údaje;
Zaslat kontatkní osobě podepsanou EN verzi materiálového listu ve formátu PDF a tento vyplněný zdrojový soubor excel.</t>
  </si>
  <si>
    <t>ID dokumentu:</t>
  </si>
  <si>
    <t>Dokument ID:</t>
  </si>
  <si>
    <t>Document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</si>
</sst>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238"/>
      <scheme val="minor"/>
    </font>
    <font>
      <sz val="11"/>
      <color rgb="FF0070C0"/>
      <name val="Arial"/>
      <family val="2"/>
      <charset val="238"/>
    </font>
    <font>
      <sz val="8"/>
      <color rgb="FF0070C0"/>
      <name val="Arial"/>
      <family val="2"/>
      <charset val="238"/>
    </font>
    <font>
      <sz val="9"/>
      <color rgb="FF0070C0"/>
      <name val="Arial"/>
      <family val="2"/>
      <charset val="238"/>
    </font>
    <font>
      <b/>
      <sz val="18"/>
      <name val="Arial CE"/>
      <family val="2"/>
      <charset val="238"/>
    </font>
    <font>
      <b/>
      <sz val="14"/>
      <color rgb="FF0096D6"/>
      <name val="Arial"/>
      <family val="2"/>
      <charset val="238"/>
    </font>
    <font>
      <b/>
      <sz val="11"/>
      <color theme="0"/>
      <name val="Arial"/>
      <family val="2"/>
      <charset val="238"/>
    </font>
    <font>
      <b/>
      <sz val="18"/>
      <color rgb="FF0096D6"/>
      <name val="Arial"/>
      <family val="2"/>
      <charset val="238"/>
    </font>
    <font>
      <b/>
      <sz val="9"/>
      <color theme="0"/>
      <name val="Arial"/>
      <family val="2"/>
      <charset val="238"/>
    </font>
    <font>
      <sz val="9"/>
      <color theme="0"/>
      <name val="Arial"/>
      <family val="2"/>
      <charset val="23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96D6"/>
        <bgColor indexed="64"/>
      </patternFill>
    </fill>
  </fills>
  <borders count="60">
    <border>
      <left/>
      <right/>
      <top/>
      <bottom/>
      <diagonal/>
    </border>
    <border>
      <left/>
      <right style="thin">
        <color rgb="FF0096D6"/>
      </right>
      <top style="thin">
        <color rgb="FF0096D6"/>
      </top>
      <bottom style="thin">
        <color rgb="FF0096D6"/>
      </bottom>
      <diagonal/>
    </border>
    <border>
      <left style="thin">
        <color rgb="FF0096D6"/>
      </left>
      <right style="thin">
        <color rgb="FF0096D6"/>
      </right>
      <top style="thin">
        <color rgb="FF0096D6"/>
      </top>
      <bottom style="thin">
        <color rgb="FF0096D6"/>
      </bottom>
      <diagonal/>
    </border>
    <border>
      <left style="thin">
        <color rgb="FF0096D6"/>
      </left>
      <right/>
      <top style="thin">
        <color rgb="FF0096D6"/>
      </top>
      <bottom style="thin">
        <color rgb="FF0096D6"/>
      </bottom>
      <diagonal/>
    </border>
    <border>
      <left/>
      <right/>
      <top style="thin">
        <color rgb="FF0096D6"/>
      </top>
      <bottom style="thin">
        <color rgb="FF0096D6"/>
      </bottom>
      <diagonal/>
    </border>
    <border>
      <left style="thin">
        <color rgb="FF0096D6"/>
      </left>
      <right/>
      <top style="thin">
        <color rgb="FF0096D6"/>
      </top>
      <bottom/>
      <diagonal/>
    </border>
    <border>
      <left/>
      <right/>
      <top style="thin">
        <color rgb="FF0096D6"/>
      </top>
      <bottom/>
      <diagonal/>
    </border>
    <border>
      <left/>
      <right style="thin">
        <color rgb="FF0096D6"/>
      </right>
      <top style="thin">
        <color rgb="FF0096D6"/>
      </top>
      <bottom/>
      <diagonal/>
    </border>
    <border>
      <left style="thin">
        <color rgb="FF0096D6"/>
      </left>
      <right/>
      <top/>
      <bottom style="thin">
        <color rgb="FF0096D6"/>
      </bottom>
      <diagonal/>
    </border>
    <border>
      <left/>
      <right/>
      <top/>
      <bottom style="thin">
        <color rgb="FF0096D6"/>
      </bottom>
      <diagonal/>
    </border>
    <border>
      <left/>
      <right style="thin">
        <color rgb="FF0096D6"/>
      </right>
      <top/>
      <bottom style="thin">
        <color rgb="FF0096D6"/>
      </bottom>
      <diagonal/>
    </border>
    <border>
      <left style="thin">
        <color rgb="FF0096D6"/>
      </left>
      <right/>
      <top/>
      <bottom/>
      <diagonal/>
    </border>
    <border>
      <left style="thick">
        <color indexed="64"/>
      </left>
      <right/>
      <top/>
      <bottom/>
      <diagonal/>
    </border>
    <border>
      <left style="dotted">
        <color rgb="FF0096D6"/>
      </left>
      <right style="dotted">
        <color rgb="FF0096D6"/>
      </right>
      <top style="dotted">
        <color rgb="FF0096D6"/>
      </top>
      <bottom style="dotted">
        <color rgb="FF0096D6"/>
      </bottom>
      <diagonal/>
    </border>
    <border>
      <left/>
      <right/>
      <top/>
      <bottom style="dotted">
        <color rgb="FF0096D6"/>
      </bottom>
      <diagonal/>
    </border>
    <border>
      <left style="dotted">
        <color rgb="FF0096D6"/>
      </left>
      <right/>
      <top style="dotted">
        <color rgb="FF0096D6"/>
      </top>
      <bottom style="dotted">
        <color rgb="FF0096D6"/>
      </bottom>
      <diagonal/>
    </border>
    <border>
      <left style="dotted">
        <color rgb="FF0096D6"/>
      </left>
      <right/>
      <top style="dotted">
        <color rgb="FF0096D6"/>
      </top>
      <bottom/>
      <diagonal/>
    </border>
    <border>
      <left style="dotted">
        <color rgb="FF0096D6"/>
      </left>
      <right/>
      <top/>
      <bottom/>
      <diagonal/>
    </border>
    <border>
      <left style="dotted">
        <color rgb="FF0096D6"/>
      </left>
      <right/>
      <top/>
      <bottom style="dotted">
        <color rgb="FF0096D6"/>
      </bottom>
      <diagonal/>
    </border>
    <border>
      <left/>
      <right style="dotted">
        <color rgb="FF0096D6"/>
      </right>
      <top style="dotted">
        <color rgb="FF0096D6"/>
      </top>
      <bottom style="dotted">
        <color rgb="FF0096D6"/>
      </bottom>
      <diagonal/>
    </border>
    <border>
      <left/>
      <right style="dotted">
        <color rgb="FF0096D6"/>
      </right>
      <top style="dotted">
        <color rgb="FF0096D6"/>
      </top>
      <bottom/>
      <diagonal/>
    </border>
    <border>
      <left/>
      <right style="dotted">
        <color rgb="FF0096D6"/>
      </right>
      <top/>
      <bottom/>
      <diagonal/>
    </border>
    <border>
      <left/>
      <right style="dotted">
        <color rgb="FF0096D6"/>
      </right>
      <top/>
      <bottom style="dotted">
        <color rgb="FF0096D6"/>
      </bottom>
      <diagonal/>
    </border>
    <border>
      <left/>
      <right style="thin">
        <color rgb="FF0096D6"/>
      </right>
      <top/>
      <bottom style="dotted">
        <color rgb="FF0096D6"/>
      </bottom>
      <diagonal/>
    </border>
    <border>
      <left/>
      <right style="thin">
        <color rgb="FF0096D6"/>
      </right>
      <top style="dotted">
        <color rgb="FF0096D6"/>
      </top>
      <bottom style="dotted">
        <color rgb="FF0096D6"/>
      </bottom>
      <diagonal/>
    </border>
    <border>
      <left style="thin">
        <color rgb="FF0096D6"/>
      </left>
      <right style="dotted">
        <color rgb="FF0096D6"/>
      </right>
      <top style="dotted">
        <color rgb="FF0096D6"/>
      </top>
      <bottom style="dotted">
        <color rgb="FF0096D6"/>
      </bottom>
      <diagonal/>
    </border>
    <border>
      <left style="thin">
        <color rgb="FF0096D6"/>
      </left>
      <right style="dotted">
        <color rgb="FF0096D6"/>
      </right>
      <top style="dotted">
        <color rgb="FF0096D6"/>
      </top>
      <bottom style="thin">
        <color rgb="FF0096D6"/>
      </bottom>
      <diagonal/>
    </border>
    <border>
      <left style="dotted">
        <color rgb="FF0096D6"/>
      </left>
      <right style="dotted">
        <color rgb="FF0096D6"/>
      </right>
      <top style="dotted">
        <color rgb="FF0096D6"/>
      </top>
      <bottom style="thin">
        <color rgb="FF0096D6"/>
      </bottom>
      <diagonal/>
    </border>
    <border>
      <left style="dotted">
        <color rgb="FF0096D6"/>
      </left>
      <right/>
      <top style="dotted">
        <color rgb="FF0096D6"/>
      </top>
      <bottom style="thin">
        <color rgb="FF0096D6"/>
      </bottom>
      <diagonal/>
    </border>
    <border>
      <left/>
      <right style="dotted">
        <color rgb="FF0096D6"/>
      </right>
      <top/>
      <bottom style="thin">
        <color rgb="FF0096D6"/>
      </bottom>
      <diagonal/>
    </border>
    <border>
      <left style="dotted">
        <color rgb="FF0096D6"/>
      </left>
      <right/>
      <top/>
      <bottom style="thin">
        <color rgb="FF0096D6"/>
      </bottom>
      <diagonal/>
    </border>
    <border>
      <left style="thin">
        <color rgb="FF0096D6"/>
      </left>
      <right style="dotted">
        <color rgb="FF0096D6"/>
      </right>
      <top style="thin">
        <color rgb="FF0096D6"/>
      </top>
      <bottom style="dotted">
        <color rgb="FF0096D6"/>
      </bottom>
      <diagonal/>
    </border>
    <border>
      <left style="dotted">
        <color rgb="FF0096D6"/>
      </left>
      <right style="dotted">
        <color rgb="FF0096D6"/>
      </right>
      <top style="thin">
        <color rgb="FF0096D6"/>
      </top>
      <bottom style="dotted">
        <color rgb="FF0096D6"/>
      </bottom>
      <diagonal/>
    </border>
    <border>
      <left style="dotted">
        <color rgb="FF0096D6"/>
      </left>
      <right style="thin">
        <color rgb="FF0096D6"/>
      </right>
      <top style="thin">
        <color rgb="FF0096D6"/>
      </top>
      <bottom style="dotted">
        <color rgb="FF0096D6"/>
      </bottom>
      <diagonal/>
    </border>
    <border>
      <left style="dotted">
        <color rgb="FF0096D6"/>
      </left>
      <right style="thin">
        <color rgb="FF0096D6"/>
      </right>
      <top style="dotted">
        <color rgb="FF0096D6"/>
      </top>
      <bottom style="dotted">
        <color rgb="FF0096D6"/>
      </bottom>
      <diagonal/>
    </border>
    <border>
      <left style="dotted">
        <color rgb="FF0096D6"/>
      </left>
      <right style="thin">
        <color rgb="FF0096D6"/>
      </right>
      <top style="dotted">
        <color rgb="FF0096D6"/>
      </top>
      <bottom style="thin">
        <color rgb="FF0096D6"/>
      </bottom>
      <diagonal/>
    </border>
    <border>
      <left style="thin">
        <color rgb="FF0096D6"/>
      </left>
      <right/>
      <top style="dotted">
        <color rgb="FF0096D6"/>
      </top>
      <bottom style="dotted">
        <color rgb="FF0096D6"/>
      </bottom>
      <diagonal/>
    </border>
    <border>
      <left/>
      <right/>
      <top style="dotted">
        <color rgb="FF0096D6"/>
      </top>
      <bottom style="dotted">
        <color rgb="FF0096D6"/>
      </bottom>
      <diagonal/>
    </border>
    <border>
      <left/>
      <right style="thin">
        <color rgb="FF0096D6"/>
      </right>
      <top style="dotted">
        <color rgb="FF0096D6"/>
      </top>
      <bottom style="thin">
        <color rgb="FF0096D6"/>
      </bottom>
      <diagonal/>
    </border>
    <border>
      <left/>
      <right style="dotted">
        <color rgb="FF0096D6"/>
      </right>
      <top style="dotted">
        <color rgb="FF0096D6"/>
      </top>
      <bottom style="thin">
        <color rgb="FF0096D6"/>
      </bottom>
      <diagonal/>
    </border>
    <border>
      <left/>
      <right/>
      <top style="dotted">
        <color rgb="FF0096D6"/>
      </top>
      <bottom/>
      <diagonal/>
    </border>
    <border>
      <left style="thin">
        <color rgb="FF0096D6"/>
      </left>
      <right/>
      <top style="dotted">
        <color rgb="FF0096D6"/>
      </top>
      <bottom/>
      <diagonal/>
    </border>
    <border>
      <left/>
      <right style="thin">
        <color rgb="FF0096D6"/>
      </right>
      <top style="dotted">
        <color rgb="FF0096D6"/>
      </top>
      <bottom/>
      <diagonal/>
    </border>
    <border>
      <left/>
      <right/>
      <top style="dotted">
        <color rgb="FF0096D6"/>
      </top>
      <bottom style="thin">
        <color rgb="FF0096D6"/>
      </bottom>
      <diagonal/>
    </border>
    <border>
      <left style="thin">
        <color rgb="FF0096D6"/>
      </left>
      <right style="dotted">
        <color rgb="FF0096D6"/>
      </right>
      <top style="dotted">
        <color rgb="FF0096D6"/>
      </top>
      <bottom/>
      <diagonal/>
    </border>
    <border>
      <left style="dotted">
        <color rgb="FF0096D6"/>
      </left>
      <right style="dotted">
        <color rgb="FF0096D6"/>
      </right>
      <top style="dotted">
        <color rgb="FF0096D6"/>
      </top>
      <bottom/>
      <diagonal/>
    </border>
    <border>
      <left/>
      <right/>
      <top style="thin">
        <color rgb="FF0096D6"/>
      </top>
      <bottom style="dotted">
        <color rgb="FF0096D6"/>
      </bottom>
      <diagonal/>
    </border>
    <border>
      <left/>
      <right style="thin">
        <color rgb="FF0096D6"/>
      </right>
      <top style="thin">
        <color rgb="FF0096D6"/>
      </top>
      <bottom style="dotted">
        <color rgb="FF0096D6"/>
      </bottom>
      <diagonal/>
    </border>
    <border>
      <left style="dotted">
        <color rgb="FF0096D6"/>
      </left>
      <right/>
      <top style="thin">
        <color rgb="FF0096D6"/>
      </top>
      <bottom style="dotted">
        <color rgb="FF0096D6"/>
      </bottom>
      <diagonal/>
    </border>
    <border>
      <left style="thin">
        <color rgb="FF0096D6"/>
      </left>
      <right/>
      <top style="thin">
        <color rgb="FF0096D6"/>
      </top>
      <bottom style="dotted">
        <color rgb="FF0096D6"/>
      </bottom>
      <diagonal/>
    </border>
    <border>
      <left/>
      <right style="dotted">
        <color rgb="FF0096D6"/>
      </right>
      <top style="thin">
        <color rgb="FF0096D6"/>
      </top>
      <bottom style="dotted">
        <color rgb="FF0096D6"/>
      </bottom>
      <diagonal/>
    </border>
    <border>
      <left style="hair">
        <color rgb="FF0096D6"/>
      </left>
      <right style="hair">
        <color rgb="FF0096D6"/>
      </right>
      <top style="hair">
        <color rgb="FF0096D6"/>
      </top>
      <bottom style="hair">
        <color rgb="FF0096D6"/>
      </bottom>
      <diagonal/>
    </border>
    <border>
      <left style="thin">
        <color rgb="FF0096D6"/>
      </left>
      <right style="hair">
        <color rgb="FF0096D6"/>
      </right>
      <top style="thin">
        <color rgb="FF0096D6"/>
      </top>
      <bottom style="hair">
        <color rgb="FF0096D6"/>
      </bottom>
      <diagonal/>
    </border>
    <border>
      <left style="hair">
        <color rgb="FF0096D6"/>
      </left>
      <right style="hair">
        <color rgb="FF0096D6"/>
      </right>
      <top style="thin">
        <color rgb="FF0096D6"/>
      </top>
      <bottom style="hair">
        <color rgb="FF0096D6"/>
      </bottom>
      <diagonal/>
    </border>
    <border>
      <left style="hair">
        <color rgb="FF0096D6"/>
      </left>
      <right style="thin">
        <color rgb="FF0096D6"/>
      </right>
      <top style="thin">
        <color rgb="FF0096D6"/>
      </top>
      <bottom style="hair">
        <color rgb="FF0096D6"/>
      </bottom>
      <diagonal/>
    </border>
    <border>
      <left style="thin">
        <color rgb="FF0096D6"/>
      </left>
      <right style="hair">
        <color rgb="FF0096D6"/>
      </right>
      <top style="hair">
        <color rgb="FF0096D6"/>
      </top>
      <bottom style="hair">
        <color rgb="FF0096D6"/>
      </bottom>
      <diagonal/>
    </border>
    <border>
      <left style="hair">
        <color rgb="FF0096D6"/>
      </left>
      <right style="thin">
        <color rgb="FF0096D6"/>
      </right>
      <top style="hair">
        <color rgb="FF0096D6"/>
      </top>
      <bottom style="hair">
        <color rgb="FF0096D6"/>
      </bottom>
      <diagonal/>
    </border>
    <border>
      <left style="thin">
        <color rgb="FF0096D6"/>
      </left>
      <right style="hair">
        <color rgb="FF0096D6"/>
      </right>
      <top style="hair">
        <color rgb="FF0096D6"/>
      </top>
      <bottom style="thin">
        <color rgb="FF0096D6"/>
      </bottom>
      <diagonal/>
    </border>
    <border>
      <left style="hair">
        <color rgb="FF0096D6"/>
      </left>
      <right style="hair">
        <color rgb="FF0096D6"/>
      </right>
      <top style="hair">
        <color rgb="FF0096D6"/>
      </top>
      <bottom style="thin">
        <color rgb="FF0096D6"/>
      </bottom>
      <diagonal/>
    </border>
    <border>
      <left style="hair">
        <color rgb="FF0096D6"/>
      </left>
      <right style="thin">
        <color rgb="FF0096D6"/>
      </right>
      <top style="hair">
        <color rgb="FF0096D6"/>
      </top>
      <bottom style="thin">
        <color rgb="FF0096D6"/>
      </bottom>
      <diagonal/>
    </border>
  </borders>
  <cellStyleXfs count="2">
    <xf numFmtId="0" fontId="0" fillId="0" borderId="0"/>
    <xf numFmtId="0" fontId="4" fillId="0" borderId="12" applyFill="0" applyBorder="0">
      <alignment horizontal="center" vertical="center"/>
      <protection locked="0"/>
    </xf>
  </cellStyleXfs>
  <cellXfs count="185">
    <xf numFmtId="0" fontId="0" fillId="0" borderId="0" xfId="0"/>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xf numFmtId="0" fontId="1" fillId="0" borderId="0" xfId="0" applyFont="1" applyProtection="1"/>
    <xf numFmtId="0" fontId="1" fillId="0" borderId="0" xfId="0" applyFont="1" applyBorder="1" applyProtection="1"/>
    <xf numFmtId="0" fontId="2" fillId="0" borderId="0" xfId="0" applyFont="1" applyProtection="1"/>
    <xf numFmtId="0" fontId="1" fillId="0" borderId="0" xfId="0" applyFont="1" applyBorder="1" applyAlignment="1" applyProtection="1"/>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Fill="1" applyBorder="1" applyAlignment="1">
      <alignment horizontal="left" vertical="center" wrapText="1"/>
    </xf>
    <xf numFmtId="0" fontId="3" fillId="0" borderId="2" xfId="0" applyFont="1" applyBorder="1" applyAlignment="1">
      <alignment horizontal="center" wrapText="1"/>
    </xf>
    <xf numFmtId="0" fontId="1" fillId="3" borderId="2" xfId="0" applyFont="1" applyFill="1" applyBorder="1" applyAlignment="1" applyProtection="1">
      <alignment horizontal="center" vertical="center"/>
      <protection locked="0"/>
    </xf>
    <xf numFmtId="0" fontId="3" fillId="0" borderId="2" xfId="0" applyFont="1" applyBorder="1" applyAlignment="1">
      <alignment horizontal="center"/>
    </xf>
    <xf numFmtId="0" fontId="3" fillId="2" borderId="0" xfId="0" applyFont="1" applyFill="1" applyBorder="1" applyAlignment="1" applyProtection="1">
      <alignment vertical="top" wrapText="1"/>
    </xf>
    <xf numFmtId="0" fontId="5" fillId="0" borderId="0" xfId="0" applyFont="1" applyAlignment="1" applyProtection="1">
      <alignment horizontal="center" vertical="center"/>
    </xf>
    <xf numFmtId="0" fontId="3" fillId="0" borderId="0" xfId="0" applyFont="1" applyProtection="1"/>
    <xf numFmtId="0" fontId="3" fillId="0" borderId="3" xfId="0" applyFont="1" applyBorder="1" applyAlignment="1" applyProtection="1">
      <alignment horizontal="center" vertical="center"/>
    </xf>
    <xf numFmtId="0" fontId="3" fillId="0" borderId="25" xfId="0" applyFont="1" applyBorder="1" applyAlignment="1" applyProtection="1">
      <alignment horizontal="center" vertical="center"/>
    </xf>
    <xf numFmtId="164" fontId="3" fillId="0" borderId="24" xfId="0" applyNumberFormat="1" applyFont="1" applyBorder="1" applyAlignment="1" applyProtection="1">
      <alignment horizontal="center" vertical="center"/>
    </xf>
    <xf numFmtId="10" fontId="3" fillId="0" borderId="19" xfId="0" applyNumberFormat="1" applyFont="1" applyBorder="1" applyAlignment="1" applyProtection="1">
      <alignment horizontal="center" vertical="center"/>
    </xf>
    <xf numFmtId="0" fontId="3" fillId="0" borderId="44" xfId="0" applyFont="1" applyBorder="1" applyAlignment="1" applyProtection="1">
      <alignment horizontal="center" vertical="center"/>
    </xf>
    <xf numFmtId="164" fontId="3" fillId="0" borderId="38" xfId="0" applyNumberFormat="1" applyFont="1" applyBorder="1" applyAlignment="1" applyProtection="1">
      <alignment horizontal="center" vertical="center"/>
    </xf>
    <xf numFmtId="164" fontId="3" fillId="0" borderId="19" xfId="0" applyNumberFormat="1" applyFont="1" applyBorder="1" applyAlignment="1" applyProtection="1">
      <alignment horizontal="center" vertical="center"/>
    </xf>
    <xf numFmtId="0" fontId="3" fillId="0" borderId="0" xfId="0" applyFont="1" applyAlignment="1" applyProtection="1"/>
    <xf numFmtId="0" fontId="3" fillId="3" borderId="25"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2"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top"/>
    </xf>
    <xf numFmtId="0" fontId="3" fillId="0" borderId="9"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10"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vertical="center" wrapText="1"/>
    </xf>
    <xf numFmtId="0" fontId="3" fillId="0" borderId="0" xfId="0" applyFont="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0" borderId="0" xfId="0" applyFont="1" applyAlignment="1" applyProtection="1">
      <alignment horizontal="center" wrapText="1"/>
    </xf>
    <xf numFmtId="0" fontId="3" fillId="0" borderId="3" xfId="0" applyFont="1" applyBorder="1" applyAlignment="1">
      <alignment horizontal="center"/>
    </xf>
    <xf numFmtId="0" fontId="3" fillId="0" borderId="5" xfId="0" applyFont="1" applyBorder="1" applyAlignment="1" applyProtection="1">
      <alignment horizontal="center" vertical="center"/>
    </xf>
    <xf numFmtId="0" fontId="3" fillId="2" borderId="0" xfId="0" applyFont="1" applyFill="1" applyBorder="1" applyAlignment="1" applyProtection="1">
      <alignment wrapText="1"/>
    </xf>
    <xf numFmtId="0" fontId="3" fillId="2" borderId="0" xfId="0" applyFont="1" applyFill="1" applyBorder="1" applyAlignment="1" applyProtection="1"/>
    <xf numFmtId="0" fontId="3" fillId="2" borderId="0" xfId="0" applyNumberFormat="1" applyFont="1" applyFill="1" applyBorder="1" applyAlignment="1" applyProtection="1">
      <alignment horizontal="center" vertical="center"/>
    </xf>
    <xf numFmtId="0" fontId="1" fillId="3" borderId="1" xfId="0" applyFont="1" applyFill="1" applyBorder="1" applyAlignment="1" applyProtection="1">
      <alignment horizontal="center" vertical="center"/>
      <protection locked="0"/>
    </xf>
    <xf numFmtId="0" fontId="3" fillId="0" borderId="1" xfId="0" applyFont="1" applyBorder="1" applyAlignment="1">
      <alignment horizontal="center"/>
    </xf>
    <xf numFmtId="0" fontId="3" fillId="0" borderId="2" xfId="0" applyNumberFormat="1" applyFont="1" applyBorder="1"/>
    <xf numFmtId="0" fontId="3" fillId="0" borderId="2" xfId="0" applyNumberFormat="1" applyFont="1" applyBorder="1" applyAlignment="1" applyProtection="1">
      <alignment horizontal="left" vertical="center"/>
    </xf>
    <xf numFmtId="0" fontId="3" fillId="0" borderId="2" xfId="0" applyNumberFormat="1" applyFont="1" applyBorder="1" applyAlignment="1">
      <alignment horizontal="left"/>
    </xf>
    <xf numFmtId="0" fontId="0" fillId="0" borderId="0" xfId="0" applyAlignment="1"/>
    <xf numFmtId="0" fontId="8" fillId="4" borderId="2" xfId="0" applyNumberFormat="1" applyFont="1" applyFill="1" applyBorder="1" applyAlignment="1">
      <alignment horizontal="left"/>
    </xf>
    <xf numFmtId="0" fontId="0" fillId="0" borderId="0" xfId="0" applyNumberFormat="1" applyAlignment="1">
      <alignment horizontal="left"/>
    </xf>
    <xf numFmtId="0" fontId="3" fillId="0" borderId="2" xfId="0" applyNumberFormat="1" applyFont="1" applyBorder="1" applyAlignment="1">
      <alignment horizontal="left" vertical="center" wrapText="1"/>
    </xf>
    <xf numFmtId="0" fontId="3" fillId="0" borderId="0" xfId="0" applyFont="1" applyFill="1" applyAlignment="1">
      <alignment horizontal="left" vertical="center" wrapText="1"/>
    </xf>
    <xf numFmtId="0" fontId="9" fillId="4" borderId="2" xfId="0" applyFont="1" applyFill="1" applyBorder="1"/>
    <xf numFmtId="0" fontId="3" fillId="3" borderId="15" xfId="0" applyNumberFormat="1" applyFont="1" applyFill="1" applyBorder="1" applyAlignment="1" applyProtection="1">
      <alignment horizontal="center" vertical="center"/>
      <protection locked="0"/>
    </xf>
    <xf numFmtId="0" fontId="3" fillId="3" borderId="9" xfId="0" applyNumberFormat="1" applyFont="1" applyFill="1" applyBorder="1" applyAlignment="1" applyProtection="1">
      <alignment horizontal="center" vertical="center"/>
      <protection locked="0"/>
    </xf>
    <xf numFmtId="0" fontId="3" fillId="3" borderId="18" xfId="0" applyNumberFormat="1" applyFont="1" applyFill="1" applyBorder="1" applyAlignment="1" applyProtection="1">
      <alignment horizontal="center" vertical="center"/>
      <protection locked="0"/>
    </xf>
    <xf numFmtId="0" fontId="3" fillId="0" borderId="15" xfId="0" applyNumberFormat="1" applyFont="1" applyFill="1" applyBorder="1" applyAlignment="1" applyProtection="1">
      <alignment horizontal="center" vertical="center"/>
    </xf>
    <xf numFmtId="0" fontId="3" fillId="2" borderId="28" xfId="0" applyNumberFormat="1" applyFont="1" applyFill="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28" xfId="0" applyNumberFormat="1" applyFont="1" applyBorder="1" applyAlignment="1" applyProtection="1">
      <alignment horizontal="center" vertical="center"/>
    </xf>
    <xf numFmtId="49" fontId="3" fillId="0" borderId="2" xfId="0" applyNumberFormat="1" applyFont="1" applyBorder="1" applyAlignment="1">
      <alignment horizontal="left"/>
    </xf>
    <xf numFmtId="49" fontId="3" fillId="0" borderId="1" xfId="0" applyNumberFormat="1" applyFont="1" applyBorder="1" applyAlignment="1" applyProtection="1">
      <alignment horizontal="center" vertical="center"/>
      <protection locked="0"/>
    </xf>
    <xf numFmtId="0" fontId="3" fillId="2" borderId="6"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49"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2" borderId="41"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xf>
    <xf numFmtId="0" fontId="3" fillId="2" borderId="40"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6" xfId="0" applyFont="1" applyFill="1" applyBorder="1" applyAlignment="1" applyProtection="1">
      <alignment horizontal="right" vertical="center"/>
    </xf>
    <xf numFmtId="0" fontId="3" fillId="2" borderId="16"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0" borderId="13" xfId="0" applyFont="1" applyBorder="1" applyAlignment="1" applyProtection="1">
      <alignment horizontal="left" vertical="center"/>
    </xf>
    <xf numFmtId="0" fontId="3" fillId="2" borderId="25"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0" xfId="0" applyFont="1" applyFill="1" applyBorder="1" applyAlignment="1" applyProtection="1">
      <alignment horizontal="left" wrapText="1"/>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49" fontId="3" fillId="3" borderId="13" xfId="0" applyNumberFormat="1"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0" borderId="6" xfId="0" applyFont="1" applyBorder="1" applyAlignment="1" applyProtection="1">
      <alignment horizontal="left"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3" fillId="0" borderId="43"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36" xfId="0" applyFont="1" applyBorder="1" applyAlignment="1" applyProtection="1">
      <alignment horizontal="left" vertical="center"/>
    </xf>
    <xf numFmtId="0" fontId="3" fillId="0" borderId="37"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13"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25" xfId="0" applyFont="1" applyBorder="1" applyAlignment="1" applyProtection="1">
      <alignment horizontal="left" vertical="center"/>
    </xf>
    <xf numFmtId="0" fontId="3" fillId="0" borderId="16" xfId="0" applyNumberFormat="1"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10" fontId="3" fillId="0" borderId="20" xfId="0" applyNumberFormat="1" applyFont="1" applyBorder="1" applyAlignment="1" applyProtection="1">
      <alignment horizontal="center" vertical="center"/>
    </xf>
    <xf numFmtId="10" fontId="3" fillId="0" borderId="21" xfId="0" applyNumberFormat="1" applyFont="1" applyBorder="1" applyAlignment="1" applyProtection="1">
      <alignment horizontal="center" vertical="center"/>
    </xf>
    <xf numFmtId="10" fontId="3" fillId="0" borderId="22" xfId="0" applyNumberFormat="1" applyFont="1" applyBorder="1" applyAlignment="1" applyProtection="1">
      <alignment horizontal="center" vertical="center"/>
    </xf>
    <xf numFmtId="0" fontId="3" fillId="0" borderId="15" xfId="0" applyFont="1" applyBorder="1" applyAlignment="1" applyProtection="1">
      <alignment horizontal="left" vertical="center"/>
    </xf>
    <xf numFmtId="14" fontId="3" fillId="3" borderId="2" xfId="0" applyNumberFormat="1"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16"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3" fillId="2" borderId="51" xfId="0" applyFont="1" applyFill="1" applyBorder="1" applyAlignment="1" applyProtection="1">
      <alignment horizontal="center" vertical="center"/>
    </xf>
    <xf numFmtId="0" fontId="3" fillId="2" borderId="56"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39" xfId="0" applyFont="1" applyBorder="1" applyAlignment="1" applyProtection="1">
      <alignment horizontal="center" vertical="center"/>
    </xf>
    <xf numFmtId="0" fontId="3" fillId="0" borderId="0" xfId="0" applyFont="1" applyAlignment="1" applyProtection="1">
      <alignment horizontal="center"/>
    </xf>
    <xf numFmtId="0" fontId="1" fillId="0" borderId="1" xfId="0" applyFont="1" applyBorder="1" applyAlignment="1" applyProtection="1">
      <alignment horizontal="center" vertical="center"/>
    </xf>
    <xf numFmtId="0" fontId="3" fillId="0" borderId="0" xfId="0" applyFont="1" applyAlignment="1" applyProtection="1">
      <alignment horizontal="left" wrapText="1"/>
    </xf>
    <xf numFmtId="0" fontId="3" fillId="2" borderId="4"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1" fillId="3" borderId="4"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3" borderId="4"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top" wrapText="1"/>
    </xf>
    <xf numFmtId="0" fontId="3" fillId="0" borderId="0" xfId="0" applyFont="1" applyAlignment="1" applyProtection="1">
      <alignment horizontal="left" vertical="center"/>
    </xf>
    <xf numFmtId="0" fontId="3" fillId="2" borderId="51"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0" fontId="3" fillId="0" borderId="0" xfId="0" applyFont="1" applyAlignment="1" applyProtection="1">
      <alignment horizontal="center" wrapText="1"/>
    </xf>
    <xf numFmtId="0" fontId="9" fillId="4" borderId="2" xfId="0" applyFont="1" applyFill="1" applyBorder="1" applyAlignment="1">
      <alignment horizontal="center"/>
    </xf>
  </cellXfs>
  <cellStyles count="2">
    <cellStyle name="Normální" xfId="0" builtinId="0"/>
    <cellStyle name="PopisovePoleNazev" xfId="1" xr:uid="{00000000-0005-0000-0000-000001000000}"/>
  </cellStyles>
  <dxfs count="1">
    <dxf>
      <fill>
        <patternFill>
          <bgColor theme="5" tint="0.59996337778862885"/>
        </patternFill>
      </fill>
    </dxf>
  </dxfs>
  <tableStyles count="0" defaultTableStyle="TableStyleMedium9" defaultPivotStyle="PivotStyleLight16"/>
  <colors>
    <mruColors>
      <color rgb="FF003F7E"/>
      <color rgb="FF0096D6"/>
      <color rgb="FFFFAAAA"/>
      <color rgb="FFFF6464"/>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13894</xdr:colOff>
      <xdr:row>1</xdr:row>
      <xdr:rowOff>26275</xdr:rowOff>
    </xdr:from>
    <xdr:to>
      <xdr:col>14</xdr:col>
      <xdr:colOff>250378</xdr:colOff>
      <xdr:row>1</xdr:row>
      <xdr:rowOff>157655</xdr:rowOff>
    </xdr:to>
    <xdr:sp macro="" textlink="">
      <xdr:nvSpPr>
        <xdr:cNvPr id="3" name="Šipka doleva 2">
          <a:extLst>
            <a:ext uri="{FF2B5EF4-FFF2-40B4-BE49-F238E27FC236}">
              <a16:creationId xmlns:a16="http://schemas.microsoft.com/office/drawing/2014/main" id="{00000000-0008-0000-0000-000003000000}"/>
            </a:ext>
          </a:extLst>
        </xdr:cNvPr>
        <xdr:cNvSpPr/>
      </xdr:nvSpPr>
      <xdr:spPr>
        <a:xfrm>
          <a:off x="6256432" y="84890"/>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13138</xdr:colOff>
      <xdr:row>11</xdr:row>
      <xdr:rowOff>118241</xdr:rowOff>
    </xdr:from>
    <xdr:to>
      <xdr:col>14</xdr:col>
      <xdr:colOff>249622</xdr:colOff>
      <xdr:row>12</xdr:row>
      <xdr:rowOff>59121</xdr:rowOff>
    </xdr:to>
    <xdr:sp macro="" textlink="">
      <xdr:nvSpPr>
        <xdr:cNvPr id="30" name="Šipka doleva 29">
          <a:extLst>
            <a:ext uri="{FF2B5EF4-FFF2-40B4-BE49-F238E27FC236}">
              <a16:creationId xmlns:a16="http://schemas.microsoft.com/office/drawing/2014/main" id="{00000000-0008-0000-0000-00001E000000}"/>
            </a:ext>
          </a:extLst>
        </xdr:cNvPr>
        <xdr:cNvSpPr/>
      </xdr:nvSpPr>
      <xdr:spPr>
        <a:xfrm>
          <a:off x="6168259" y="1458310"/>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13896</xdr:colOff>
      <xdr:row>54</xdr:row>
      <xdr:rowOff>105104</xdr:rowOff>
    </xdr:from>
    <xdr:to>
      <xdr:col>14</xdr:col>
      <xdr:colOff>250380</xdr:colOff>
      <xdr:row>55</xdr:row>
      <xdr:rowOff>45984</xdr:rowOff>
    </xdr:to>
    <xdr:sp macro="" textlink="">
      <xdr:nvSpPr>
        <xdr:cNvPr id="32" name="Šipka doleva 31">
          <a:extLst>
            <a:ext uri="{FF2B5EF4-FFF2-40B4-BE49-F238E27FC236}">
              <a16:creationId xmlns:a16="http://schemas.microsoft.com/office/drawing/2014/main" id="{00000000-0008-0000-0000-000020000000}"/>
            </a:ext>
          </a:extLst>
        </xdr:cNvPr>
        <xdr:cNvSpPr/>
      </xdr:nvSpPr>
      <xdr:spPr>
        <a:xfrm>
          <a:off x="6256434" y="10025758"/>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19707</xdr:colOff>
      <xdr:row>65</xdr:row>
      <xdr:rowOff>82364</xdr:rowOff>
    </xdr:from>
    <xdr:to>
      <xdr:col>14</xdr:col>
      <xdr:colOff>256191</xdr:colOff>
      <xdr:row>66</xdr:row>
      <xdr:rowOff>23244</xdr:rowOff>
    </xdr:to>
    <xdr:sp macro="" textlink="">
      <xdr:nvSpPr>
        <xdr:cNvPr id="6" name="Šipka doleva 5">
          <a:extLst>
            <a:ext uri="{FF2B5EF4-FFF2-40B4-BE49-F238E27FC236}">
              <a16:creationId xmlns:a16="http://schemas.microsoft.com/office/drawing/2014/main" id="{00000000-0008-0000-0000-000006000000}"/>
            </a:ext>
          </a:extLst>
        </xdr:cNvPr>
        <xdr:cNvSpPr/>
      </xdr:nvSpPr>
      <xdr:spPr>
        <a:xfrm>
          <a:off x="6306207" y="11710191"/>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24760</xdr:colOff>
      <xdr:row>100</xdr:row>
      <xdr:rowOff>56088</xdr:rowOff>
    </xdr:from>
    <xdr:to>
      <xdr:col>14</xdr:col>
      <xdr:colOff>261244</xdr:colOff>
      <xdr:row>101</xdr:row>
      <xdr:rowOff>42950</xdr:rowOff>
    </xdr:to>
    <xdr:sp macro="" textlink="">
      <xdr:nvSpPr>
        <xdr:cNvPr id="9" name="Šipka doleva 8">
          <a:extLst>
            <a:ext uri="{FF2B5EF4-FFF2-40B4-BE49-F238E27FC236}">
              <a16:creationId xmlns:a16="http://schemas.microsoft.com/office/drawing/2014/main" id="{00000000-0008-0000-0000-000009000000}"/>
            </a:ext>
          </a:extLst>
        </xdr:cNvPr>
        <xdr:cNvSpPr/>
      </xdr:nvSpPr>
      <xdr:spPr>
        <a:xfrm>
          <a:off x="6311260" y="18585876"/>
          <a:ext cx="236484" cy="17003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14</xdr:col>
      <xdr:colOff>14655</xdr:colOff>
      <xdr:row>7</xdr:row>
      <xdr:rowOff>102575</xdr:rowOff>
    </xdr:from>
    <xdr:to>
      <xdr:col>14</xdr:col>
      <xdr:colOff>251139</xdr:colOff>
      <xdr:row>8</xdr:row>
      <xdr:rowOff>21475</xdr:rowOff>
    </xdr:to>
    <xdr:sp macro="" textlink="">
      <xdr:nvSpPr>
        <xdr:cNvPr id="8" name="Šipka doleva 7">
          <a:extLst>
            <a:ext uri="{FF2B5EF4-FFF2-40B4-BE49-F238E27FC236}">
              <a16:creationId xmlns:a16="http://schemas.microsoft.com/office/drawing/2014/main" id="{00000000-0008-0000-0000-000008000000}"/>
            </a:ext>
          </a:extLst>
        </xdr:cNvPr>
        <xdr:cNvSpPr/>
      </xdr:nvSpPr>
      <xdr:spPr>
        <a:xfrm>
          <a:off x="6301155" y="1003787"/>
          <a:ext cx="236484" cy="1313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B103"/>
  <sheetViews>
    <sheetView showGridLines="0" tabSelected="1" view="pageLayout" zoomScaleNormal="145" workbookViewId="0">
      <selection activeCell="S1" sqref="S1:S1048576"/>
    </sheetView>
  </sheetViews>
  <sheetFormatPr defaultColWidth="9.140625" defaultRowHeight="14.25" x14ac:dyDescent="0.2"/>
  <cols>
    <col min="1" max="2" width="6.140625" style="4" customWidth="1"/>
    <col min="3" max="3" width="5" style="4" customWidth="1"/>
    <col min="4" max="4" width="7.42578125" style="4" customWidth="1"/>
    <col min="5" max="5" width="6" style="4" customWidth="1"/>
    <col min="6" max="6" width="7.140625" style="4" customWidth="1"/>
    <col min="7" max="7" width="6" style="4" customWidth="1"/>
    <col min="8" max="9" width="6.140625" style="4" customWidth="1"/>
    <col min="10" max="10" width="5" style="4" customWidth="1"/>
    <col min="11" max="12" width="6.140625" style="4" customWidth="1"/>
    <col min="13" max="13" width="7.140625" style="4" customWidth="1"/>
    <col min="14" max="14" width="6" style="4" customWidth="1"/>
    <col min="15" max="28" width="6.140625" style="21" customWidth="1"/>
    <col min="29" max="41" width="6.140625" style="4" customWidth="1"/>
    <col min="42" max="16384" width="9.140625" style="4"/>
  </cols>
  <sheetData>
    <row r="1" spans="1:28" ht="4.5" customHeight="1" x14ac:dyDescent="0.2"/>
    <row r="2" spans="1:28" ht="15" customHeight="1" x14ac:dyDescent="0.2">
      <c r="A2" s="168" t="str">
        <f>VLOOKUP(62,TableLanguage,IndexLanguage,FALSE)</f>
        <v>Document ID:</v>
      </c>
      <c r="B2" s="169"/>
      <c r="C2" s="169"/>
      <c r="D2" s="167" t="s">
        <v>194</v>
      </c>
      <c r="E2" s="167"/>
      <c r="F2" s="22" t="str">
        <f>VLOOKUP(65,TableLanguage,IndexLanguage,FALSE)</f>
        <v>Rev.</v>
      </c>
      <c r="G2" s="72" t="s">
        <v>299</v>
      </c>
      <c r="I2" s="153" t="s">
        <v>69</v>
      </c>
      <c r="J2" s="154"/>
      <c r="K2" s="154"/>
      <c r="L2" s="154"/>
      <c r="M2" s="165"/>
      <c r="N2" s="17" t="s">
        <v>65</v>
      </c>
      <c r="O2" s="29"/>
      <c r="P2" s="113" t="str">
        <f>VLOOKUP(300,TableLanguage,IndexLanguage,FALSE)</f>
        <v>Select your document language;</v>
      </c>
      <c r="Q2" s="113"/>
      <c r="R2" s="113"/>
      <c r="S2" s="113"/>
      <c r="T2" s="113"/>
      <c r="U2" s="113"/>
      <c r="V2" s="113"/>
      <c r="W2" s="113"/>
      <c r="X2" s="113"/>
      <c r="Y2" s="113"/>
      <c r="Z2" s="113"/>
      <c r="AA2" s="113"/>
      <c r="AB2" s="113"/>
    </row>
    <row r="3" spans="1:28" ht="4.5" customHeight="1" x14ac:dyDescent="0.2">
      <c r="A3" s="7"/>
      <c r="B3" s="19"/>
      <c r="C3" s="19"/>
      <c r="D3" s="34"/>
      <c r="E3" s="5"/>
      <c r="F3" s="5"/>
      <c r="O3" s="113" t="str">
        <f>VLOOKUP(301,TableLanguage,IndexLanguage,FALSE)</f>
        <v>Detailed explanation offers the standard ISO 22 628, or document „PRODUCT CATEGORY RULES“ (UNCPC CODE: 495; 2009: 05), which deal with environmental program of rolling stock, from production of the vehicle to its disposal.</v>
      </c>
      <c r="P3" s="113"/>
      <c r="Q3" s="113"/>
      <c r="R3" s="113"/>
      <c r="S3" s="113"/>
      <c r="T3" s="113"/>
      <c r="U3" s="113"/>
      <c r="V3" s="113"/>
      <c r="W3" s="113"/>
      <c r="X3" s="113"/>
      <c r="Y3" s="113"/>
      <c r="Z3" s="113"/>
      <c r="AA3" s="113"/>
      <c r="AB3" s="113"/>
    </row>
    <row r="4" spans="1:28" ht="23.25" x14ac:dyDescent="0.2">
      <c r="A4" s="170" t="str">
        <f>VLOOKUP(50,TableLanguage,IndexLanguage,FALSE)</f>
        <v>Material product composition</v>
      </c>
      <c r="B4" s="170"/>
      <c r="C4" s="170"/>
      <c r="D4" s="170"/>
      <c r="E4" s="170"/>
      <c r="F4" s="170"/>
      <c r="G4" s="170"/>
      <c r="H4" s="170"/>
      <c r="I4" s="170"/>
      <c r="J4" s="170"/>
      <c r="K4" s="170"/>
      <c r="L4" s="170"/>
      <c r="M4" s="170"/>
      <c r="N4" s="170"/>
      <c r="O4" s="113"/>
      <c r="P4" s="113"/>
      <c r="Q4" s="113"/>
      <c r="R4" s="113"/>
      <c r="S4" s="113"/>
      <c r="T4" s="113"/>
      <c r="U4" s="113"/>
      <c r="V4" s="113"/>
      <c r="W4" s="113"/>
      <c r="X4" s="113"/>
      <c r="Y4" s="113"/>
      <c r="Z4" s="113"/>
      <c r="AA4" s="113"/>
      <c r="AB4" s="113"/>
    </row>
    <row r="5" spans="1:28" ht="4.5" customHeight="1" x14ac:dyDescent="0.2">
      <c r="A5" s="20"/>
      <c r="B5" s="20"/>
      <c r="C5" s="20"/>
      <c r="D5" s="20"/>
      <c r="E5" s="20"/>
      <c r="F5" s="20"/>
      <c r="G5" s="20"/>
      <c r="H5" s="20"/>
      <c r="I5" s="20"/>
      <c r="J5" s="20"/>
      <c r="K5" s="20"/>
      <c r="L5" s="20"/>
      <c r="M5" s="20"/>
      <c r="N5" s="20"/>
      <c r="O5" s="113"/>
      <c r="P5" s="113"/>
      <c r="Q5" s="113"/>
      <c r="R5" s="113"/>
      <c r="S5" s="113"/>
      <c r="T5" s="113"/>
      <c r="U5" s="113"/>
      <c r="V5" s="113"/>
      <c r="W5" s="113"/>
      <c r="X5" s="113"/>
      <c r="Y5" s="113"/>
      <c r="Z5" s="113"/>
      <c r="AA5" s="113"/>
      <c r="AB5" s="113"/>
    </row>
    <row r="6" spans="1:28" x14ac:dyDescent="0.2">
      <c r="A6" s="166" t="str">
        <f>VLOOKUP(51,TableLanguage,IndexLanguage,FALSE)</f>
        <v>This document derived from International standard ISO 22628:2002.</v>
      </c>
      <c r="B6" s="166"/>
      <c r="C6" s="166"/>
      <c r="D6" s="166"/>
      <c r="E6" s="166"/>
      <c r="F6" s="166"/>
      <c r="G6" s="166"/>
      <c r="H6" s="166"/>
      <c r="I6" s="166"/>
      <c r="J6" s="166"/>
      <c r="K6" s="166"/>
      <c r="L6" s="166"/>
      <c r="M6" s="166"/>
      <c r="N6" s="166"/>
      <c r="O6" s="113"/>
      <c r="P6" s="113"/>
      <c r="Q6" s="113"/>
      <c r="R6" s="113"/>
      <c r="S6" s="113"/>
      <c r="T6" s="113"/>
      <c r="U6" s="113"/>
      <c r="V6" s="113"/>
      <c r="W6" s="113"/>
      <c r="X6" s="113"/>
      <c r="Y6" s="113"/>
      <c r="Z6" s="113"/>
      <c r="AA6" s="113"/>
      <c r="AB6" s="113"/>
    </row>
    <row r="7" spans="1:28" ht="4.5" customHeight="1" x14ac:dyDescent="0.2"/>
    <row r="8" spans="1:28" ht="16.5" customHeight="1" x14ac:dyDescent="0.2">
      <c r="A8" s="173" t="str">
        <f>VLOOKUP(52,TableLanguage,IndexLanguage,FALSE)</f>
        <v>Producer:</v>
      </c>
      <c r="B8" s="173"/>
      <c r="C8" s="173"/>
      <c r="D8" s="173"/>
      <c r="E8" s="173"/>
      <c r="F8" s="171"/>
      <c r="G8" s="171"/>
      <c r="H8" s="171"/>
      <c r="I8" s="171"/>
      <c r="J8" s="171"/>
      <c r="K8" s="171"/>
      <c r="L8" s="171"/>
      <c r="M8" s="171"/>
      <c r="N8" s="172"/>
      <c r="O8" s="183"/>
      <c r="P8" s="112" t="str">
        <f>VLOOKUP(302,TableLanguage,IndexLanguage,FALSE)</f>
        <v>Fill in the manufacturer, model / type of equipment, product weight and select the unit for material composition;
The total mass must correspond to the real weight of the product with supplied operational fillings (consumables).</v>
      </c>
      <c r="Q8" s="112"/>
      <c r="R8" s="112"/>
      <c r="S8" s="112"/>
      <c r="T8" s="112"/>
      <c r="U8" s="112"/>
      <c r="V8" s="112"/>
      <c r="W8" s="112"/>
      <c r="X8" s="112"/>
      <c r="Y8" s="112"/>
      <c r="Z8" s="112"/>
      <c r="AA8" s="112"/>
      <c r="AB8" s="112"/>
    </row>
    <row r="9" spans="1:28" ht="16.5" customHeight="1" x14ac:dyDescent="0.2">
      <c r="A9" s="173" t="str">
        <f>VLOOKUP(53,TableLanguage,IndexLanguage,FALSE)</f>
        <v>Model type:</v>
      </c>
      <c r="B9" s="173"/>
      <c r="C9" s="173"/>
      <c r="D9" s="173"/>
      <c r="E9" s="173"/>
      <c r="F9" s="171"/>
      <c r="G9" s="171"/>
      <c r="H9" s="171"/>
      <c r="I9" s="171"/>
      <c r="J9" s="171"/>
      <c r="K9" s="171"/>
      <c r="L9" s="171"/>
      <c r="M9" s="171"/>
      <c r="N9" s="172"/>
      <c r="O9" s="183"/>
      <c r="P9" s="112"/>
      <c r="Q9" s="112"/>
      <c r="R9" s="112"/>
      <c r="S9" s="112"/>
      <c r="T9" s="112"/>
      <c r="U9" s="112"/>
      <c r="V9" s="112"/>
      <c r="W9" s="112"/>
      <c r="X9" s="112"/>
      <c r="Y9" s="112"/>
      <c r="Z9" s="112"/>
      <c r="AA9" s="112"/>
      <c r="AB9" s="112"/>
    </row>
    <row r="10" spans="1:28" ht="16.5" customHeight="1" x14ac:dyDescent="0.2">
      <c r="A10" s="173" t="str">
        <f>VLOOKUP(54,TableLanguage,IndexLanguage,FALSE)</f>
        <v>Produkt mass:</v>
      </c>
      <c r="B10" s="173"/>
      <c r="C10" s="173"/>
      <c r="D10" s="173"/>
      <c r="E10" s="173"/>
      <c r="F10" s="174"/>
      <c r="G10" s="174"/>
      <c r="H10" s="53" t="s">
        <v>0</v>
      </c>
      <c r="I10" s="153" t="str">
        <f>VLOOKUP(66,TableLanguage,IndexLanguage,FALSE)</f>
        <v>Unit:</v>
      </c>
      <c r="J10" s="154"/>
      <c r="K10" s="154"/>
      <c r="L10" s="154"/>
      <c r="M10" s="154"/>
      <c r="N10" s="17" t="s">
        <v>304</v>
      </c>
      <c r="O10" s="47"/>
      <c r="P10" s="112"/>
      <c r="Q10" s="112"/>
      <c r="R10" s="112"/>
      <c r="S10" s="112"/>
      <c r="T10" s="112"/>
      <c r="U10" s="112"/>
      <c r="V10" s="112"/>
      <c r="W10" s="112"/>
      <c r="X10" s="112"/>
      <c r="Y10" s="112"/>
      <c r="Z10" s="112"/>
      <c r="AA10" s="112"/>
      <c r="AB10" s="112"/>
    </row>
    <row r="11" spans="1:28" x14ac:dyDescent="0.2">
      <c r="P11" s="112"/>
      <c r="Q11" s="112"/>
      <c r="R11" s="112"/>
      <c r="S11" s="112"/>
      <c r="T11" s="112"/>
      <c r="U11" s="112"/>
      <c r="V11" s="112"/>
      <c r="W11" s="112"/>
      <c r="X11" s="112"/>
      <c r="Y11" s="112"/>
      <c r="Z11" s="112"/>
      <c r="AA11" s="112"/>
      <c r="AB11" s="112"/>
    </row>
    <row r="12" spans="1:28" ht="15" x14ac:dyDescent="0.2">
      <c r="A12" s="148" t="str">
        <f>VLOOKUP(55,TableLanguage,IndexLanguage,FALSE)</f>
        <v>Materials composition</v>
      </c>
      <c r="B12" s="149"/>
      <c r="C12" s="149"/>
      <c r="D12" s="149"/>
      <c r="E12" s="149"/>
      <c r="F12" s="149"/>
      <c r="G12" s="149"/>
      <c r="H12" s="149"/>
      <c r="I12" s="149"/>
      <c r="J12" s="149"/>
      <c r="K12" s="149"/>
      <c r="L12" s="149"/>
      <c r="M12" s="149"/>
      <c r="N12" s="150"/>
      <c r="O12" s="164"/>
      <c r="P12" s="176" t="str">
        <f>VLOOKUP(303,TableLanguage,IndexLanguage,FALSE)</f>
        <v>Fill all the masses of the individual materials according to the following classification;</v>
      </c>
      <c r="Q12" s="176"/>
      <c r="R12" s="176"/>
      <c r="S12" s="176"/>
      <c r="T12" s="176"/>
      <c r="U12" s="176"/>
      <c r="V12" s="176"/>
      <c r="W12" s="176"/>
      <c r="X12" s="176"/>
      <c r="Y12" s="176"/>
      <c r="Z12" s="176"/>
      <c r="AA12" s="176"/>
      <c r="AB12" s="176"/>
    </row>
    <row r="13" spans="1:28" x14ac:dyDescent="0.2">
      <c r="A13" s="49" t="str">
        <f>VLOOKUP(59,TableLanguage,IndexLanguage,FALSE)</f>
        <v>Categ.</v>
      </c>
      <c r="B13" s="147" t="str">
        <f>VLOOKUP(57,TableLanguage,IndexLanguage,FALSE)</f>
        <v>Group</v>
      </c>
      <c r="C13" s="147"/>
      <c r="D13" s="117" t="str">
        <f>VLOOKUP(56,TableLanguage,IndexLanguage,FALSE)</f>
        <v>Mass</v>
      </c>
      <c r="E13" s="117"/>
      <c r="F13" s="147" t="str">
        <f>VLOOKUP(58,TableLanguage,IndexLanguage,FALSE)</f>
        <v>Material</v>
      </c>
      <c r="G13" s="147"/>
      <c r="H13" s="147"/>
      <c r="I13" s="147"/>
      <c r="J13" s="147"/>
      <c r="K13" s="147"/>
      <c r="L13" s="147"/>
      <c r="M13" s="117" t="str">
        <f>VLOOKUP(56,TableLanguage,IndexLanguage,FALSE)</f>
        <v>Mass</v>
      </c>
      <c r="N13" s="118"/>
      <c r="O13" s="164"/>
      <c r="P13" s="176"/>
      <c r="Q13" s="176"/>
      <c r="R13" s="176"/>
      <c r="S13" s="176"/>
      <c r="T13" s="176"/>
      <c r="U13" s="176"/>
      <c r="V13" s="176"/>
      <c r="W13" s="176"/>
      <c r="X13" s="176"/>
      <c r="Y13" s="176"/>
      <c r="Z13" s="176"/>
      <c r="AA13" s="176"/>
      <c r="AB13" s="176"/>
    </row>
    <row r="14" spans="1:28" x14ac:dyDescent="0.2">
      <c r="A14" s="23">
        <v>1</v>
      </c>
      <c r="B14" s="130" t="str">
        <f>VLOOKUP(40,TableLanguage,IndexLanguage,FALSE)</f>
        <v>Metals</v>
      </c>
      <c r="C14" s="130"/>
      <c r="D14" s="133">
        <f>SUM($M$14,$M$18)</f>
        <v>0</v>
      </c>
      <c r="E14" s="136" t="str">
        <f>Zvolena_jednotka</f>
        <v>%</v>
      </c>
      <c r="F14" s="102" t="str">
        <f>VLOOKUP(1,TableLanguage,IndexLanguage,FALSE)</f>
        <v>FE metals</v>
      </c>
      <c r="G14" s="102"/>
      <c r="H14" s="102"/>
      <c r="I14" s="102"/>
      <c r="J14" s="102"/>
      <c r="K14" s="102"/>
      <c r="L14" s="102"/>
      <c r="M14" s="67">
        <f>SUM($M$15:$M$17)</f>
        <v>0</v>
      </c>
      <c r="N14" s="24" t="str">
        <f t="shared" ref="N14:N46" si="0">Zvolena_jednotka</f>
        <v>%</v>
      </c>
      <c r="O14" s="164"/>
      <c r="P14" s="157"/>
      <c r="Q14" s="158"/>
      <c r="R14" s="158" t="str">
        <f>VLOOKUP(1,TableLanguage,IndexLanguage,FALSE)</f>
        <v>FE metals</v>
      </c>
      <c r="S14" s="158"/>
      <c r="T14" s="158"/>
      <c r="U14" s="158"/>
      <c r="V14" s="158"/>
      <c r="W14" s="158"/>
      <c r="X14" s="158"/>
      <c r="Y14" s="158"/>
      <c r="Z14" s="158"/>
      <c r="AA14" s="158"/>
      <c r="AB14" s="160"/>
    </row>
    <row r="15" spans="1:28" x14ac:dyDescent="0.2">
      <c r="A15" s="23" t="s">
        <v>23</v>
      </c>
      <c r="B15" s="130"/>
      <c r="C15" s="130"/>
      <c r="D15" s="134"/>
      <c r="E15" s="137"/>
      <c r="F15" s="102" t="str">
        <f>VLOOKUP(2,TableLanguage,IndexLanguage,FALSE)</f>
        <v xml:space="preserve">          Steel</v>
      </c>
      <c r="G15" s="102"/>
      <c r="H15" s="102"/>
      <c r="I15" s="102"/>
      <c r="J15" s="102"/>
      <c r="K15" s="102"/>
      <c r="L15" s="102"/>
      <c r="M15" s="64"/>
      <c r="N15" s="24" t="str">
        <f t="shared" si="0"/>
        <v>%</v>
      </c>
      <c r="O15" s="164"/>
      <c r="P15" s="159"/>
      <c r="Q15" s="155"/>
      <c r="R15" s="155" t="str">
        <f>VLOOKUP(250,TableLanguage,IndexLanguage,FALSE)</f>
        <v>Steel</v>
      </c>
      <c r="S15" s="155"/>
      <c r="T15" s="155"/>
      <c r="U15" s="155"/>
      <c r="V15" s="155" t="str">
        <f>VLOOKUP(251,TableLanguage,IndexLanguage,FALSE)</f>
        <v>Stainless steel</v>
      </c>
      <c r="W15" s="155"/>
      <c r="X15" s="155"/>
      <c r="Y15" s="155"/>
      <c r="Z15" s="155" t="str">
        <f>VLOOKUP(252,TableLanguage,IndexLanguage,FALSE)</f>
        <v>Cast iron</v>
      </c>
      <c r="AA15" s="155"/>
      <c r="AB15" s="156"/>
    </row>
    <row r="16" spans="1:28" ht="14.25" customHeight="1" x14ac:dyDescent="0.2">
      <c r="A16" s="23" t="s">
        <v>24</v>
      </c>
      <c r="B16" s="130"/>
      <c r="C16" s="130"/>
      <c r="D16" s="134"/>
      <c r="E16" s="137"/>
      <c r="F16" s="102" t="str">
        <f>VLOOKUP(3,TableLanguage,IndexLanguage,FALSE)</f>
        <v xml:space="preserve">          Stainless steel</v>
      </c>
      <c r="G16" s="102"/>
      <c r="H16" s="102"/>
      <c r="I16" s="102"/>
      <c r="J16" s="102"/>
      <c r="K16" s="102"/>
      <c r="L16" s="102"/>
      <c r="M16" s="64"/>
      <c r="N16" s="24" t="str">
        <f t="shared" si="0"/>
        <v>%</v>
      </c>
      <c r="O16" s="164"/>
      <c r="P16" s="181" t="str">
        <f>VLOOKUP(206,TableLanguage,IndexLanguage,FALSE)</f>
        <v>Material description</v>
      </c>
      <c r="Q16" s="177"/>
      <c r="R16" s="177" t="str">
        <f>VLOOKUP(253,TableLanguage,IndexLanguage,FALSE)</f>
        <v>Alloys of iron, carbon and other alloying elements. Carbon content up to 2.14% and other alloying elements up to 5%.</v>
      </c>
      <c r="S16" s="177"/>
      <c r="T16" s="177"/>
      <c r="U16" s="177"/>
      <c r="V16" s="177" t="str">
        <f>VLOOKUP(254,TableLanguage,IndexLanguage,FALSE)</f>
        <v>Alloys of iron, carbon and other alloying elements. Carbon content up to 2.14% and other alloying elements above 5%.</v>
      </c>
      <c r="W16" s="177"/>
      <c r="X16" s="177"/>
      <c r="Y16" s="177"/>
      <c r="Z16" s="177" t="str">
        <f>VLOOKUP(255,TableLanguage,IndexLanguage,FALSE)</f>
        <v>Iron and carbon alloys. Carbon content above 2.14%.</v>
      </c>
      <c r="AA16" s="177"/>
      <c r="AB16" s="179"/>
    </row>
    <row r="17" spans="1:28" x14ac:dyDescent="0.2">
      <c r="A17" s="23" t="s">
        <v>25</v>
      </c>
      <c r="B17" s="130"/>
      <c r="C17" s="130"/>
      <c r="D17" s="134"/>
      <c r="E17" s="137"/>
      <c r="F17" s="102" t="str">
        <f>VLOOKUP(4,TableLanguage,IndexLanguage,FALSE)</f>
        <v xml:space="preserve">          Cast iron</v>
      </c>
      <c r="G17" s="102"/>
      <c r="H17" s="102"/>
      <c r="I17" s="102"/>
      <c r="J17" s="102"/>
      <c r="K17" s="102"/>
      <c r="L17" s="102"/>
      <c r="M17" s="64"/>
      <c r="N17" s="24" t="str">
        <f t="shared" si="0"/>
        <v>%</v>
      </c>
      <c r="O17" s="164"/>
      <c r="P17" s="181"/>
      <c r="Q17" s="177"/>
      <c r="R17" s="177"/>
      <c r="S17" s="177"/>
      <c r="T17" s="177"/>
      <c r="U17" s="177"/>
      <c r="V17" s="177"/>
      <c r="W17" s="177"/>
      <c r="X17" s="177"/>
      <c r="Y17" s="177"/>
      <c r="Z17" s="177"/>
      <c r="AA17" s="177"/>
      <c r="AB17" s="179"/>
    </row>
    <row r="18" spans="1:28" x14ac:dyDescent="0.2">
      <c r="A18" s="23">
        <v>2</v>
      </c>
      <c r="B18" s="130"/>
      <c r="C18" s="130"/>
      <c r="D18" s="134"/>
      <c r="E18" s="137"/>
      <c r="F18" s="102" t="str">
        <f>VLOOKUP(5,TableLanguage,IndexLanguage,FALSE)</f>
        <v>Non-FE metals</v>
      </c>
      <c r="G18" s="102"/>
      <c r="H18" s="102"/>
      <c r="I18" s="102"/>
      <c r="J18" s="102"/>
      <c r="K18" s="102"/>
      <c r="L18" s="102"/>
      <c r="M18" s="67">
        <f>SUM($M$19:$M$22)</f>
        <v>0</v>
      </c>
      <c r="N18" s="24" t="str">
        <f t="shared" si="0"/>
        <v>%</v>
      </c>
      <c r="O18" s="164"/>
      <c r="P18" s="181"/>
      <c r="Q18" s="177"/>
      <c r="R18" s="177"/>
      <c r="S18" s="177"/>
      <c r="T18" s="177"/>
      <c r="U18" s="177"/>
      <c r="V18" s="177"/>
      <c r="W18" s="177"/>
      <c r="X18" s="177"/>
      <c r="Y18" s="177"/>
      <c r="Z18" s="177"/>
      <c r="AA18" s="177"/>
      <c r="AB18" s="179"/>
    </row>
    <row r="19" spans="1:28" x14ac:dyDescent="0.2">
      <c r="A19" s="23" t="s">
        <v>26</v>
      </c>
      <c r="B19" s="130"/>
      <c r="C19" s="130"/>
      <c r="D19" s="134"/>
      <c r="E19" s="137"/>
      <c r="F19" s="102" t="str">
        <f>VLOOKUP(6,TableLanguage,IndexLanguage,FALSE)</f>
        <v xml:space="preserve">          Al - Aluminium and its alloys</v>
      </c>
      <c r="G19" s="102"/>
      <c r="H19" s="102"/>
      <c r="I19" s="102"/>
      <c r="J19" s="102"/>
      <c r="K19" s="102"/>
      <c r="L19" s="102"/>
      <c r="M19" s="64"/>
      <c r="N19" s="24" t="str">
        <f t="shared" si="0"/>
        <v>%</v>
      </c>
      <c r="O19" s="164"/>
      <c r="P19" s="181"/>
      <c r="Q19" s="177"/>
      <c r="R19" s="177"/>
      <c r="S19" s="177"/>
      <c r="T19" s="177"/>
      <c r="U19" s="177"/>
      <c r="V19" s="177"/>
      <c r="W19" s="177"/>
      <c r="X19" s="177"/>
      <c r="Y19" s="177"/>
      <c r="Z19" s="177"/>
      <c r="AA19" s="177"/>
      <c r="AB19" s="179"/>
    </row>
    <row r="20" spans="1:28" x14ac:dyDescent="0.2">
      <c r="A20" s="23" t="s">
        <v>27</v>
      </c>
      <c r="B20" s="130"/>
      <c r="C20" s="130"/>
      <c r="D20" s="134"/>
      <c r="E20" s="137"/>
      <c r="F20" s="102" t="str">
        <f>VLOOKUP(7,TableLanguage,IndexLanguage,FALSE)</f>
        <v xml:space="preserve">          Cu - Copper and its alloys</v>
      </c>
      <c r="G20" s="102"/>
      <c r="H20" s="102"/>
      <c r="I20" s="102"/>
      <c r="J20" s="102"/>
      <c r="K20" s="102"/>
      <c r="L20" s="102"/>
      <c r="M20" s="64"/>
      <c r="N20" s="24" t="str">
        <f t="shared" si="0"/>
        <v>%</v>
      </c>
      <c r="O20" s="164"/>
      <c r="P20" s="181"/>
      <c r="Q20" s="177"/>
      <c r="R20" s="177"/>
      <c r="S20" s="177"/>
      <c r="T20" s="177"/>
      <c r="U20" s="177"/>
      <c r="V20" s="177"/>
      <c r="W20" s="177"/>
      <c r="X20" s="177"/>
      <c r="Y20" s="177"/>
      <c r="Z20" s="177"/>
      <c r="AA20" s="177"/>
      <c r="AB20" s="179"/>
    </row>
    <row r="21" spans="1:28" ht="14.25" customHeight="1" x14ac:dyDescent="0.2">
      <c r="A21" s="23" t="s">
        <v>28</v>
      </c>
      <c r="B21" s="130"/>
      <c r="C21" s="130"/>
      <c r="D21" s="134"/>
      <c r="E21" s="137"/>
      <c r="F21" s="102" t="str">
        <f>VLOOKUP(8,TableLanguage,IndexLanguage,FALSE)</f>
        <v xml:space="preserve">          Zn - Zinc and its alloys</v>
      </c>
      <c r="G21" s="102"/>
      <c r="H21" s="102"/>
      <c r="I21" s="102"/>
      <c r="J21" s="102"/>
      <c r="K21" s="102"/>
      <c r="L21" s="102"/>
      <c r="M21" s="64"/>
      <c r="N21" s="24" t="str">
        <f t="shared" si="0"/>
        <v>%</v>
      </c>
      <c r="O21" s="164"/>
      <c r="P21" s="182"/>
      <c r="Q21" s="178"/>
      <c r="R21" s="178"/>
      <c r="S21" s="178"/>
      <c r="T21" s="178"/>
      <c r="U21" s="178"/>
      <c r="V21" s="178"/>
      <c r="W21" s="178"/>
      <c r="X21" s="178"/>
      <c r="Y21" s="178"/>
      <c r="Z21" s="178"/>
      <c r="AA21" s="178"/>
      <c r="AB21" s="180"/>
    </row>
    <row r="22" spans="1:28" ht="14.25" customHeight="1" x14ac:dyDescent="0.2">
      <c r="A22" s="23" t="s">
        <v>29</v>
      </c>
      <c r="B22" s="130"/>
      <c r="C22" s="130"/>
      <c r="D22" s="135"/>
      <c r="E22" s="138"/>
      <c r="F22" s="102" t="str">
        <f>VLOOKUP(9,TableLanguage,IndexLanguage,FALSE)</f>
        <v xml:space="preserve">          Other metals</v>
      </c>
      <c r="G22" s="102"/>
      <c r="H22" s="102"/>
      <c r="I22" s="102"/>
      <c r="J22" s="102"/>
      <c r="K22" s="102"/>
      <c r="L22" s="102"/>
      <c r="M22" s="64"/>
      <c r="N22" s="24" t="str">
        <f t="shared" si="0"/>
        <v>%</v>
      </c>
      <c r="O22" s="164"/>
      <c r="P22" s="74" t="str">
        <f>VLOOKUP(304,TableLanguage,IndexLanguage,FALSE)</f>
        <v>For aluminum alloys (copper, zinc) is considered such an alloy in which aluminum (copper, zinc) represented more than half the amount.</v>
      </c>
      <c r="Q22" s="74"/>
      <c r="R22" s="74"/>
      <c r="S22" s="74"/>
      <c r="T22" s="74"/>
      <c r="U22" s="74"/>
      <c r="V22" s="74"/>
      <c r="W22" s="74"/>
      <c r="X22" s="74"/>
      <c r="Y22" s="74"/>
      <c r="Z22" s="74"/>
      <c r="AA22" s="74"/>
      <c r="AB22" s="74"/>
    </row>
    <row r="23" spans="1:28" x14ac:dyDescent="0.2">
      <c r="A23" s="23">
        <v>3</v>
      </c>
      <c r="B23" s="130" t="str">
        <f>VLOOKUP(41,TableLanguage,IndexLanguage,FALSE)</f>
        <v>Polymers excluding elastomers</v>
      </c>
      <c r="C23" s="130"/>
      <c r="D23" s="133">
        <f>SUM($M$23:$M$28)</f>
        <v>0</v>
      </c>
      <c r="E23" s="136" t="str">
        <f>Zvolena_jednotka</f>
        <v>%</v>
      </c>
      <c r="F23" s="102" t="str">
        <f>VLOOKUP(10,TableLanguage,IndexLanguage,FALSE)</f>
        <v>Thermoplastics (unfilled)</v>
      </c>
      <c r="G23" s="102"/>
      <c r="H23" s="102"/>
      <c r="I23" s="102"/>
      <c r="J23" s="102"/>
      <c r="K23" s="102"/>
      <c r="L23" s="102"/>
      <c r="M23" s="64"/>
      <c r="N23" s="24" t="str">
        <f t="shared" si="0"/>
        <v>%</v>
      </c>
      <c r="O23" s="29"/>
      <c r="P23" s="74"/>
      <c r="Q23" s="74"/>
      <c r="R23" s="74"/>
      <c r="S23" s="74"/>
      <c r="T23" s="74"/>
      <c r="U23" s="74"/>
      <c r="V23" s="74"/>
      <c r="W23" s="74"/>
      <c r="X23" s="74"/>
      <c r="Y23" s="74"/>
      <c r="Z23" s="74"/>
      <c r="AA23" s="74"/>
      <c r="AB23" s="74"/>
    </row>
    <row r="24" spans="1:28" x14ac:dyDescent="0.2">
      <c r="A24" s="23">
        <v>4</v>
      </c>
      <c r="B24" s="130"/>
      <c r="C24" s="130"/>
      <c r="D24" s="134"/>
      <c r="E24" s="137"/>
      <c r="F24" s="102" t="str">
        <f>VLOOKUP(11,TableLanguage,IndexLanguage,FALSE)</f>
        <v>Thermoplastics (glass filled)</v>
      </c>
      <c r="G24" s="102"/>
      <c r="H24" s="102"/>
      <c r="I24" s="102"/>
      <c r="J24" s="102"/>
      <c r="K24" s="102"/>
      <c r="L24" s="102"/>
      <c r="M24" s="64"/>
      <c r="N24" s="24" t="str">
        <f t="shared" si="0"/>
        <v>%</v>
      </c>
      <c r="O24" s="29"/>
      <c r="P24" s="51"/>
      <c r="Q24" s="51"/>
      <c r="R24" s="51"/>
      <c r="S24" s="51"/>
      <c r="T24" s="51"/>
      <c r="U24" s="51"/>
      <c r="V24" s="51"/>
      <c r="W24" s="51"/>
      <c r="X24" s="51"/>
      <c r="Y24" s="51"/>
      <c r="Z24" s="51"/>
      <c r="AA24" s="51"/>
      <c r="AB24" s="51"/>
    </row>
    <row r="25" spans="1:28" x14ac:dyDescent="0.2">
      <c r="A25" s="23">
        <v>5</v>
      </c>
      <c r="B25" s="130"/>
      <c r="C25" s="130"/>
      <c r="D25" s="134"/>
      <c r="E25" s="137"/>
      <c r="F25" s="102" t="str">
        <f>VLOOKUP(12,TableLanguage,IndexLanguage,FALSE)</f>
        <v>Thermosets (unfilled)</v>
      </c>
      <c r="G25" s="102"/>
      <c r="H25" s="102"/>
      <c r="I25" s="102"/>
      <c r="J25" s="102"/>
      <c r="K25" s="102"/>
      <c r="L25" s="102"/>
      <c r="M25" s="64"/>
      <c r="N25" s="24" t="str">
        <f t="shared" si="0"/>
        <v>%</v>
      </c>
      <c r="O25" s="29"/>
      <c r="P25" s="51"/>
      <c r="Q25" s="51"/>
      <c r="R25" s="51"/>
      <c r="S25" s="51"/>
      <c r="T25" s="51"/>
      <c r="U25" s="51"/>
      <c r="V25" s="51"/>
      <c r="W25" s="51"/>
      <c r="X25" s="51"/>
      <c r="Y25" s="51"/>
      <c r="Z25" s="51"/>
      <c r="AA25" s="51"/>
      <c r="AB25" s="51"/>
    </row>
    <row r="26" spans="1:28" x14ac:dyDescent="0.2">
      <c r="A26" s="23">
        <v>6</v>
      </c>
      <c r="B26" s="130"/>
      <c r="C26" s="130"/>
      <c r="D26" s="134"/>
      <c r="E26" s="137"/>
      <c r="F26" s="102" t="str">
        <f>VLOOKUP(13,TableLanguage,IndexLanguage,FALSE)</f>
        <v>Thermosets (glass filled)</v>
      </c>
      <c r="G26" s="102"/>
      <c r="H26" s="102"/>
      <c r="I26" s="102"/>
      <c r="J26" s="102"/>
      <c r="K26" s="102"/>
      <c r="L26" s="102"/>
      <c r="M26" s="64"/>
      <c r="N26" s="24" t="str">
        <f t="shared" si="0"/>
        <v>%</v>
      </c>
      <c r="O26" s="29"/>
      <c r="P26" s="107"/>
      <c r="Q26" s="108"/>
      <c r="R26" s="108" t="str">
        <f>VLOOKUP(200,TableLanguage,IndexLanguage,FALSE)</f>
        <v>Polymers</v>
      </c>
      <c r="S26" s="108"/>
      <c r="T26" s="108"/>
      <c r="U26" s="108"/>
      <c r="V26" s="108"/>
      <c r="W26" s="108"/>
      <c r="X26" s="108"/>
      <c r="Y26" s="108"/>
      <c r="Z26" s="108"/>
      <c r="AA26" s="108"/>
      <c r="AB26" s="110"/>
    </row>
    <row r="27" spans="1:28" x14ac:dyDescent="0.2">
      <c r="A27" s="23">
        <v>7</v>
      </c>
      <c r="B27" s="130"/>
      <c r="C27" s="130"/>
      <c r="D27" s="134"/>
      <c r="E27" s="137"/>
      <c r="F27" s="102" t="str">
        <f>VLOOKUP(14,TableLanguage,IndexLanguage,FALSE)</f>
        <v>Carbon or natural fiber reinforced polymers</v>
      </c>
      <c r="G27" s="102"/>
      <c r="H27" s="102"/>
      <c r="I27" s="102"/>
      <c r="J27" s="102"/>
      <c r="K27" s="102"/>
      <c r="L27" s="102"/>
      <c r="M27" s="64"/>
      <c r="N27" s="24" t="str">
        <f t="shared" si="0"/>
        <v>%</v>
      </c>
      <c r="O27" s="29"/>
      <c r="P27" s="109"/>
      <c r="Q27" s="97"/>
      <c r="R27" s="97" t="str">
        <f>VLOOKUP(201,TableLanguage,IndexLanguage,FALSE)</f>
        <v>Thermoplastics</v>
      </c>
      <c r="S27" s="97"/>
      <c r="T27" s="97"/>
      <c r="U27" s="97"/>
      <c r="V27" s="97" t="str">
        <f>VLOOKUP(202,TableLanguage,IndexLanguage,FALSE)</f>
        <v>Thermosets</v>
      </c>
      <c r="W27" s="97"/>
      <c r="X27" s="97"/>
      <c r="Y27" s="97"/>
      <c r="Z27" s="97" t="str">
        <f>VLOOKUP(42,TableLanguage,IndexLanguage,FALSE)</f>
        <v>Elastomers</v>
      </c>
      <c r="AA27" s="97"/>
      <c r="AB27" s="98"/>
    </row>
    <row r="28" spans="1:28" x14ac:dyDescent="0.2">
      <c r="A28" s="23">
        <v>8</v>
      </c>
      <c r="B28" s="130"/>
      <c r="C28" s="130"/>
      <c r="D28" s="135"/>
      <c r="E28" s="138"/>
      <c r="F28" s="102" t="str">
        <f>VLOOKUP(15,TableLanguage,IndexLanguage,FALSE)</f>
        <v>Other polymers</v>
      </c>
      <c r="G28" s="102"/>
      <c r="H28" s="102"/>
      <c r="I28" s="102"/>
      <c r="J28" s="102"/>
      <c r="K28" s="102"/>
      <c r="L28" s="102"/>
      <c r="M28" s="64"/>
      <c r="N28" s="24" t="str">
        <f t="shared" si="0"/>
        <v>%</v>
      </c>
      <c r="O28" s="29"/>
      <c r="P28" s="109" t="str">
        <f>VLOOKUP(203,TableLanguage,IndexLanguage,FALSE)</f>
        <v>Reinforced by:</v>
      </c>
      <c r="Q28" s="97"/>
      <c r="R28" s="97" t="str">
        <f>VLOOKUP(204,TableLanguage,IndexLanguage,FALSE)</f>
        <v>Glass fibres</v>
      </c>
      <c r="S28" s="97"/>
      <c r="T28" s="97"/>
      <c r="U28" s="97"/>
      <c r="V28" s="97"/>
      <c r="W28" s="97"/>
      <c r="X28" s="97"/>
      <c r="Y28" s="97"/>
      <c r="Z28" s="97" t="str">
        <f>VLOOKUP(211,TableLanguage,IndexLanguage,FALSE)</f>
        <v>Unfilled</v>
      </c>
      <c r="AA28" s="97"/>
      <c r="AB28" s="98"/>
    </row>
    <row r="29" spans="1:28" ht="14.25" customHeight="1" x14ac:dyDescent="0.2">
      <c r="A29" s="23">
        <v>9</v>
      </c>
      <c r="B29" s="142" t="str">
        <f>VLOOKUP(42,TableLanguage,IndexLanguage,FALSE)</f>
        <v>Elastomers</v>
      </c>
      <c r="C29" s="143"/>
      <c r="D29" s="133">
        <f>SUM($M$29:$M$30)</f>
        <v>0</v>
      </c>
      <c r="E29" s="136" t="str">
        <f>Zvolena_jednotka</f>
        <v>%</v>
      </c>
      <c r="F29" s="102" t="str">
        <f>VLOOKUP(16,TableLanguage,IndexLanguage,FALSE)</f>
        <v>Elastomers (unfilled)</v>
      </c>
      <c r="G29" s="102"/>
      <c r="H29" s="102"/>
      <c r="I29" s="102"/>
      <c r="J29" s="102"/>
      <c r="K29" s="102"/>
      <c r="L29" s="102"/>
      <c r="M29" s="64"/>
      <c r="N29" s="24" t="str">
        <f t="shared" si="0"/>
        <v>%</v>
      </c>
      <c r="O29" s="29"/>
      <c r="P29" s="109"/>
      <c r="Q29" s="97"/>
      <c r="R29" s="97" t="str">
        <f>VLOOKUP(205,TableLanguage,IndexLanguage,FALSE)</f>
        <v>Natural fibres</v>
      </c>
      <c r="S29" s="97"/>
      <c r="T29" s="97"/>
      <c r="U29" s="97"/>
      <c r="V29" s="97"/>
      <c r="W29" s="97"/>
      <c r="X29" s="97"/>
      <c r="Y29" s="97"/>
      <c r="Z29" s="97" t="str">
        <f>VLOOKUP(212,TableLanguage,IndexLanguage,FALSE)</f>
        <v>Filled</v>
      </c>
      <c r="AA29" s="97"/>
      <c r="AB29" s="98"/>
    </row>
    <row r="30" spans="1:28" x14ac:dyDescent="0.2">
      <c r="A30" s="23">
        <v>10</v>
      </c>
      <c r="B30" s="144"/>
      <c r="C30" s="145"/>
      <c r="D30" s="135"/>
      <c r="E30" s="138"/>
      <c r="F30" s="102" t="str">
        <f>VLOOKUP(17,TableLanguage,IndexLanguage,FALSE)</f>
        <v>Elastomers (filled)</v>
      </c>
      <c r="G30" s="102"/>
      <c r="H30" s="102"/>
      <c r="I30" s="102"/>
      <c r="J30" s="102"/>
      <c r="K30" s="102"/>
      <c r="L30" s="102"/>
      <c r="M30" s="64"/>
      <c r="N30" s="24" t="str">
        <f t="shared" si="0"/>
        <v>%</v>
      </c>
      <c r="O30" s="29"/>
      <c r="P30" s="103" t="str">
        <f>VLOOKUP(206,TableLanguage,IndexLanguage,FALSE)</f>
        <v>Material description</v>
      </c>
      <c r="Q30" s="104"/>
      <c r="R30" s="97" t="s">
        <v>94</v>
      </c>
      <c r="S30" s="97"/>
      <c r="T30" s="97"/>
      <c r="U30" s="97"/>
      <c r="V30" s="97" t="str">
        <f>VLOOKUP(227,TableLanguage,IndexLanguage,FALSE)</f>
        <v>Epoxy resin</v>
      </c>
      <c r="W30" s="97"/>
      <c r="X30" s="97"/>
      <c r="Y30" s="97"/>
      <c r="Z30" s="97" t="str">
        <f>VLOOKUP(207,TableLanguage,IndexLanguage,FALSE)</f>
        <v>Rubber</v>
      </c>
      <c r="AA30" s="97"/>
      <c r="AB30" s="98"/>
    </row>
    <row r="31" spans="1:28" ht="14.25" customHeight="1" x14ac:dyDescent="0.2">
      <c r="A31" s="23">
        <v>11</v>
      </c>
      <c r="B31" s="130" t="str">
        <f>VLOOKUP(43,TableLanguage,IndexLanguage,FALSE)</f>
        <v>Glass</v>
      </c>
      <c r="C31" s="130"/>
      <c r="D31" s="134">
        <f>SUM($M$31:$M$32)</f>
        <v>0</v>
      </c>
      <c r="E31" s="137" t="str">
        <f>Zvolena_jednotka</f>
        <v>%</v>
      </c>
      <c r="F31" s="102" t="str">
        <f>VLOOKUP(18,TableLanguage,IndexLanguage,FALSE)</f>
        <v>Glass</v>
      </c>
      <c r="G31" s="102"/>
      <c r="H31" s="102"/>
      <c r="I31" s="102"/>
      <c r="J31" s="102"/>
      <c r="K31" s="102"/>
      <c r="L31" s="102"/>
      <c r="M31" s="64"/>
      <c r="N31" s="24" t="str">
        <f t="shared" si="0"/>
        <v>%</v>
      </c>
      <c r="O31" s="29"/>
      <c r="P31" s="103"/>
      <c r="Q31" s="104"/>
      <c r="R31" s="97" t="s">
        <v>95</v>
      </c>
      <c r="S31" s="97"/>
      <c r="T31" s="97"/>
      <c r="U31" s="97"/>
      <c r="V31" s="97" t="str">
        <f>VLOOKUP(228,TableLanguage,IndexLanguage,FALSE)</f>
        <v>Phenolic resin</v>
      </c>
      <c r="W31" s="97"/>
      <c r="X31" s="97"/>
      <c r="Y31" s="97"/>
      <c r="Z31" s="97" t="str">
        <f>VLOOKUP(208,TableLanguage,IndexLanguage,FALSE)</f>
        <v>EPDM</v>
      </c>
      <c r="AA31" s="97"/>
      <c r="AB31" s="98"/>
    </row>
    <row r="32" spans="1:28" x14ac:dyDescent="0.2">
      <c r="A32" s="23">
        <v>12</v>
      </c>
      <c r="B32" s="130"/>
      <c r="C32" s="130"/>
      <c r="D32" s="135"/>
      <c r="E32" s="138"/>
      <c r="F32" s="102" t="str">
        <f>VLOOKUP(19,TableLanguage,IndexLanguage,FALSE)</f>
        <v>Safety Glass (shatterproof glass)</v>
      </c>
      <c r="G32" s="102"/>
      <c r="H32" s="102"/>
      <c r="I32" s="102"/>
      <c r="J32" s="102"/>
      <c r="K32" s="102"/>
      <c r="L32" s="102"/>
      <c r="M32" s="64"/>
      <c r="N32" s="24" t="str">
        <f t="shared" si="0"/>
        <v>%</v>
      </c>
      <c r="O32" s="29"/>
      <c r="P32" s="103"/>
      <c r="Q32" s="104"/>
      <c r="R32" s="97" t="s">
        <v>96</v>
      </c>
      <c r="S32" s="97"/>
      <c r="T32" s="97"/>
      <c r="U32" s="97"/>
      <c r="V32" s="97" t="str">
        <f>VLOOKUP(229,TableLanguage,IndexLanguage,FALSE)</f>
        <v>Polyester resin</v>
      </c>
      <c r="W32" s="97"/>
      <c r="X32" s="97"/>
      <c r="Y32" s="97"/>
      <c r="Z32" s="97" t="str">
        <f>VLOOKUP(209,TableLanguage,IndexLanguage,FALSE)</f>
        <v>Silicone</v>
      </c>
      <c r="AA32" s="97"/>
      <c r="AB32" s="98"/>
    </row>
    <row r="33" spans="1:28" x14ac:dyDescent="0.2">
      <c r="A33" s="23">
        <v>13</v>
      </c>
      <c r="B33" s="130" t="str">
        <f>VLOOKUP(44,TableLanguage,IndexLanguage,FALSE)</f>
        <v>Fluids and gases</v>
      </c>
      <c r="C33" s="130"/>
      <c r="D33" s="134">
        <f>SUM($M$33:$M$35)</f>
        <v>0</v>
      </c>
      <c r="E33" s="136" t="str">
        <f>Zvolena_jednotka</f>
        <v>%</v>
      </c>
      <c r="F33" s="102" t="str">
        <f>VLOOKUP(20,TableLanguage,IndexLanguage,FALSE)</f>
        <v>Oil, grease or similar</v>
      </c>
      <c r="G33" s="102"/>
      <c r="H33" s="102"/>
      <c r="I33" s="102"/>
      <c r="J33" s="102"/>
      <c r="K33" s="102"/>
      <c r="L33" s="102"/>
      <c r="M33" s="64"/>
      <c r="N33" s="24" t="str">
        <f t="shared" si="0"/>
        <v>%</v>
      </c>
      <c r="O33" s="29"/>
      <c r="P33" s="103"/>
      <c r="Q33" s="104"/>
      <c r="R33" s="97" t="s">
        <v>97</v>
      </c>
      <c r="S33" s="97"/>
      <c r="T33" s="97"/>
      <c r="U33" s="97"/>
      <c r="V33" s="97"/>
      <c r="W33" s="97"/>
      <c r="X33" s="97"/>
      <c r="Y33" s="97"/>
      <c r="Z33" s="91" t="str">
        <f>VLOOKUP(210,TableLanguage,IndexLanguage,FALSE)</f>
        <v>Thermoplastic elastomers</v>
      </c>
      <c r="AA33" s="92"/>
      <c r="AB33" s="93"/>
    </row>
    <row r="34" spans="1:28" x14ac:dyDescent="0.2">
      <c r="A34" s="23">
        <v>14</v>
      </c>
      <c r="B34" s="130"/>
      <c r="C34" s="130"/>
      <c r="D34" s="134"/>
      <c r="E34" s="137"/>
      <c r="F34" s="102" t="str">
        <f>VLOOKUP(21,TableLanguage,IndexLanguage,FALSE)</f>
        <v>Acids and cooling agents or similar</v>
      </c>
      <c r="G34" s="102"/>
      <c r="H34" s="102"/>
      <c r="I34" s="102"/>
      <c r="J34" s="102"/>
      <c r="K34" s="102"/>
      <c r="L34" s="102"/>
      <c r="M34" s="64"/>
      <c r="N34" s="24" t="str">
        <f t="shared" si="0"/>
        <v>%</v>
      </c>
      <c r="O34" s="29"/>
      <c r="P34" s="103"/>
      <c r="Q34" s="104"/>
      <c r="R34" s="97" t="s">
        <v>98</v>
      </c>
      <c r="S34" s="97"/>
      <c r="T34" s="97"/>
      <c r="U34" s="97"/>
      <c r="V34" s="97"/>
      <c r="W34" s="97"/>
      <c r="X34" s="97"/>
      <c r="Y34" s="97"/>
      <c r="Z34" s="94"/>
      <c r="AA34" s="95"/>
      <c r="AB34" s="96"/>
    </row>
    <row r="35" spans="1:28" x14ac:dyDescent="0.2">
      <c r="A35" s="23">
        <v>15</v>
      </c>
      <c r="B35" s="130"/>
      <c r="C35" s="130"/>
      <c r="D35" s="135"/>
      <c r="E35" s="138"/>
      <c r="F35" s="102" t="str">
        <f>VLOOKUP(22,TableLanguage,IndexLanguage,FALSE)</f>
        <v>Gases</v>
      </c>
      <c r="G35" s="102"/>
      <c r="H35" s="102"/>
      <c r="I35" s="102"/>
      <c r="J35" s="102"/>
      <c r="K35" s="102"/>
      <c r="L35" s="102"/>
      <c r="M35" s="64"/>
      <c r="N35" s="24" t="str">
        <f t="shared" si="0"/>
        <v>%</v>
      </c>
      <c r="O35" s="29"/>
      <c r="P35" s="103"/>
      <c r="Q35" s="104"/>
      <c r="R35" s="97" t="s">
        <v>99</v>
      </c>
      <c r="S35" s="97"/>
      <c r="T35" s="97"/>
      <c r="U35" s="97"/>
      <c r="V35" s="97"/>
      <c r="W35" s="97"/>
      <c r="X35" s="97"/>
      <c r="Y35" s="97"/>
      <c r="Z35" s="97"/>
      <c r="AA35" s="97"/>
      <c r="AB35" s="98"/>
    </row>
    <row r="36" spans="1:28" x14ac:dyDescent="0.2">
      <c r="A36" s="23">
        <v>16</v>
      </c>
      <c r="B36" s="130" t="str">
        <f>VLOOKUP(45,TableLanguage,IndexLanguage,FALSE)</f>
        <v>MONM</v>
      </c>
      <c r="C36" s="130"/>
      <c r="D36" s="69">
        <f>$M$36</f>
        <v>0</v>
      </c>
      <c r="E36" s="25" t="str">
        <f>Zvolena_jednotka</f>
        <v>%</v>
      </c>
      <c r="F36" s="102" t="str">
        <f>VLOOKUP(23,TableLanguage,IndexLanguage,FALSE)</f>
        <v>Modified organic natural materials</v>
      </c>
      <c r="G36" s="102"/>
      <c r="H36" s="102"/>
      <c r="I36" s="102"/>
      <c r="J36" s="102"/>
      <c r="K36" s="102"/>
      <c r="L36" s="102"/>
      <c r="M36" s="64"/>
      <c r="N36" s="24" t="str">
        <f t="shared" si="0"/>
        <v>%</v>
      </c>
      <c r="O36" s="29"/>
      <c r="P36" s="103"/>
      <c r="Q36" s="104"/>
      <c r="R36" s="97" t="s">
        <v>100</v>
      </c>
      <c r="S36" s="97"/>
      <c r="T36" s="97"/>
      <c r="U36" s="97"/>
      <c r="V36" s="97"/>
      <c r="W36" s="97"/>
      <c r="X36" s="97"/>
      <c r="Y36" s="97"/>
      <c r="Z36" s="97"/>
      <c r="AA36" s="97"/>
      <c r="AB36" s="98"/>
    </row>
    <row r="37" spans="1:28" x14ac:dyDescent="0.2">
      <c r="A37" s="23">
        <v>17</v>
      </c>
      <c r="B37" s="130" t="str">
        <f>VLOOKUP(46,TableLanguage,IndexLanguage,FALSE)</f>
        <v>Other</v>
      </c>
      <c r="C37" s="130"/>
      <c r="D37" s="133">
        <f>SUM($M$37:$M$45)</f>
        <v>0</v>
      </c>
      <c r="E37" s="136" t="str">
        <f>Zvolena_jednotka</f>
        <v>%</v>
      </c>
      <c r="F37" s="102" t="str">
        <f>VLOOKUP(24,TableLanguage,IndexLanguage,FALSE)</f>
        <v>Ceramics</v>
      </c>
      <c r="G37" s="102"/>
      <c r="H37" s="102"/>
      <c r="I37" s="102"/>
      <c r="J37" s="102"/>
      <c r="K37" s="102"/>
      <c r="L37" s="102"/>
      <c r="M37" s="64"/>
      <c r="N37" s="24" t="str">
        <f t="shared" si="0"/>
        <v>%</v>
      </c>
      <c r="O37" s="29"/>
      <c r="P37" s="103"/>
      <c r="Q37" s="104"/>
      <c r="R37" s="97" t="s">
        <v>101</v>
      </c>
      <c r="S37" s="97"/>
      <c r="T37" s="97"/>
      <c r="U37" s="97"/>
      <c r="V37" s="97"/>
      <c r="W37" s="97"/>
      <c r="X37" s="97"/>
      <c r="Y37" s="97"/>
      <c r="Z37" s="97"/>
      <c r="AA37" s="97"/>
      <c r="AB37" s="98"/>
    </row>
    <row r="38" spans="1:28" x14ac:dyDescent="0.2">
      <c r="A38" s="23">
        <v>18</v>
      </c>
      <c r="B38" s="130"/>
      <c r="C38" s="130"/>
      <c r="D38" s="134"/>
      <c r="E38" s="137"/>
      <c r="F38" s="102" t="str">
        <f>VLOOKUP(25,TableLanguage,IndexLanguage,FALSE)</f>
        <v>Mineral wool</v>
      </c>
      <c r="G38" s="102"/>
      <c r="H38" s="102"/>
      <c r="I38" s="102"/>
      <c r="J38" s="102"/>
      <c r="K38" s="102"/>
      <c r="L38" s="102"/>
      <c r="M38" s="64"/>
      <c r="N38" s="24" t="str">
        <f t="shared" si="0"/>
        <v>%</v>
      </c>
      <c r="O38" s="29"/>
      <c r="P38" s="103"/>
      <c r="Q38" s="104"/>
      <c r="R38" s="97" t="s">
        <v>102</v>
      </c>
      <c r="S38" s="97"/>
      <c r="T38" s="97"/>
      <c r="U38" s="97"/>
      <c r="V38" s="97"/>
      <c r="W38" s="97"/>
      <c r="X38" s="97"/>
      <c r="Y38" s="97"/>
      <c r="Z38" s="97"/>
      <c r="AA38" s="97"/>
      <c r="AB38" s="98"/>
    </row>
    <row r="39" spans="1:28" x14ac:dyDescent="0.2">
      <c r="A39" s="23">
        <v>19</v>
      </c>
      <c r="B39" s="130"/>
      <c r="C39" s="130"/>
      <c r="D39" s="134"/>
      <c r="E39" s="137"/>
      <c r="F39" s="102" t="str">
        <f>VLOOKUP(26,TableLanguage,IndexLanguage,FALSE)</f>
        <v>Electric / Electronic components</v>
      </c>
      <c r="G39" s="102"/>
      <c r="H39" s="102"/>
      <c r="I39" s="102"/>
      <c r="J39" s="102"/>
      <c r="K39" s="102"/>
      <c r="L39" s="102"/>
      <c r="M39" s="64"/>
      <c r="N39" s="24" t="str">
        <f t="shared" si="0"/>
        <v>%</v>
      </c>
      <c r="O39" s="29"/>
      <c r="P39" s="105"/>
      <c r="Q39" s="106"/>
      <c r="R39" s="99" t="s">
        <v>103</v>
      </c>
      <c r="S39" s="99"/>
      <c r="T39" s="99"/>
      <c r="U39" s="99"/>
      <c r="V39" s="99"/>
      <c r="W39" s="99"/>
      <c r="X39" s="99"/>
      <c r="Y39" s="99"/>
      <c r="Z39" s="99"/>
      <c r="AA39" s="99"/>
      <c r="AB39" s="100"/>
    </row>
    <row r="40" spans="1:28" x14ac:dyDescent="0.2">
      <c r="A40" s="23">
        <v>20</v>
      </c>
      <c r="B40" s="130"/>
      <c r="C40" s="130"/>
      <c r="D40" s="134"/>
      <c r="E40" s="137"/>
      <c r="F40" s="102" t="str">
        <f>VLOOKUP(27,TableLanguage,IndexLanguage,FALSE)</f>
        <v>Batteries (greater 100 g)</v>
      </c>
      <c r="G40" s="102"/>
      <c r="H40" s="102"/>
      <c r="I40" s="102"/>
      <c r="J40" s="102"/>
      <c r="K40" s="102"/>
      <c r="L40" s="102"/>
      <c r="M40" s="64"/>
      <c r="N40" s="24" t="str">
        <f t="shared" si="0"/>
        <v>%</v>
      </c>
      <c r="O40" s="29"/>
      <c r="P40" s="73" t="str">
        <f>VLOOKUP(305,TableLanguage,IndexLanguage,FALSE)</f>
        <v>Among other polymers include such polymeric material resources (reinforced and unreinforced), which do not correspond to other categories.</v>
      </c>
      <c r="Q40" s="73"/>
      <c r="R40" s="73"/>
      <c r="S40" s="73"/>
      <c r="T40" s="73"/>
      <c r="U40" s="73"/>
      <c r="V40" s="73"/>
      <c r="W40" s="73"/>
      <c r="X40" s="73"/>
      <c r="Y40" s="73"/>
      <c r="Z40" s="73"/>
      <c r="AA40" s="73"/>
      <c r="AB40" s="73"/>
    </row>
    <row r="41" spans="1:28" ht="14.25" customHeight="1" x14ac:dyDescent="0.2">
      <c r="A41" s="23">
        <v>21</v>
      </c>
      <c r="B41" s="130"/>
      <c r="C41" s="130"/>
      <c r="D41" s="134"/>
      <c r="E41" s="137"/>
      <c r="F41" s="102" t="str">
        <f>VLOOKUP(28,TableLanguage,IndexLanguage,FALSE)</f>
        <v>Capacitors (greater 100 g)</v>
      </c>
      <c r="G41" s="102"/>
      <c r="H41" s="102"/>
      <c r="I41" s="102"/>
      <c r="J41" s="102"/>
      <c r="K41" s="102"/>
      <c r="L41" s="102"/>
      <c r="M41" s="64"/>
      <c r="N41" s="24" t="str">
        <f t="shared" si="0"/>
        <v>%</v>
      </c>
      <c r="O41" s="29"/>
      <c r="P41" s="74"/>
      <c r="Q41" s="74"/>
      <c r="R41" s="74"/>
      <c r="S41" s="74"/>
      <c r="T41" s="74"/>
      <c r="U41" s="74"/>
      <c r="V41" s="74"/>
      <c r="W41" s="74"/>
      <c r="X41" s="74"/>
      <c r="Y41" s="74"/>
      <c r="Z41" s="74"/>
      <c r="AA41" s="74"/>
      <c r="AB41" s="74"/>
    </row>
    <row r="42" spans="1:28" x14ac:dyDescent="0.2">
      <c r="A42" s="26">
        <v>22</v>
      </c>
      <c r="B42" s="130"/>
      <c r="C42" s="130"/>
      <c r="D42" s="134"/>
      <c r="E42" s="137"/>
      <c r="F42" s="102" t="str">
        <f>VLOOKUP(29,TableLanguage,IndexLanguage,FALSE)</f>
        <v>Oil filters</v>
      </c>
      <c r="G42" s="102"/>
      <c r="H42" s="102"/>
      <c r="I42" s="102"/>
      <c r="J42" s="102"/>
      <c r="K42" s="102"/>
      <c r="L42" s="102"/>
      <c r="M42" s="64"/>
      <c r="N42" s="24" t="str">
        <f t="shared" si="0"/>
        <v>%</v>
      </c>
      <c r="O42" s="29"/>
      <c r="P42" s="41"/>
      <c r="Q42" s="41"/>
      <c r="R42" s="42"/>
      <c r="S42" s="42"/>
      <c r="T42" s="42"/>
      <c r="U42" s="42"/>
      <c r="V42" s="42"/>
      <c r="W42" s="42"/>
      <c r="X42" s="42"/>
      <c r="Y42" s="42"/>
      <c r="Z42" s="42"/>
      <c r="AA42" s="42"/>
      <c r="AB42" s="42"/>
    </row>
    <row r="43" spans="1:28" x14ac:dyDescent="0.2">
      <c r="A43" s="26">
        <v>23</v>
      </c>
      <c r="B43" s="131"/>
      <c r="C43" s="131"/>
      <c r="D43" s="134"/>
      <c r="E43" s="137"/>
      <c r="F43" s="139" t="str">
        <f>VLOOKUP(30,TableLanguage,IndexLanguage,FALSE)</f>
        <v>Sand</v>
      </c>
      <c r="G43" s="128"/>
      <c r="H43" s="128"/>
      <c r="I43" s="128"/>
      <c r="J43" s="128"/>
      <c r="K43" s="128"/>
      <c r="L43" s="129"/>
      <c r="M43" s="64"/>
      <c r="N43" s="24" t="str">
        <f t="shared" si="0"/>
        <v>%</v>
      </c>
      <c r="O43" s="29"/>
      <c r="P43" s="4"/>
      <c r="Q43" s="4"/>
      <c r="R43" s="4"/>
      <c r="S43" s="4"/>
      <c r="T43" s="4"/>
      <c r="U43" s="4"/>
      <c r="V43" s="4"/>
      <c r="W43" s="4"/>
      <c r="X43" s="4"/>
      <c r="Y43" s="4"/>
      <c r="Z43" s="4"/>
      <c r="AA43" s="4"/>
      <c r="AB43" s="4"/>
    </row>
    <row r="44" spans="1:28" ht="14.25" customHeight="1" x14ac:dyDescent="0.2">
      <c r="A44" s="23">
        <v>24</v>
      </c>
      <c r="B44" s="131"/>
      <c r="C44" s="131"/>
      <c r="D44" s="134"/>
      <c r="E44" s="137"/>
      <c r="F44" s="139" t="str">
        <f>VLOOKUP(31,TableLanguage,IndexLanguage,FALSE)</f>
        <v>Fire extinguishers</v>
      </c>
      <c r="G44" s="128"/>
      <c r="H44" s="128"/>
      <c r="I44" s="128"/>
      <c r="J44" s="128"/>
      <c r="K44" s="128"/>
      <c r="L44" s="129"/>
      <c r="M44" s="64"/>
      <c r="N44" s="24" t="str">
        <f t="shared" si="0"/>
        <v>%</v>
      </c>
      <c r="O44" s="29"/>
      <c r="P44" s="75"/>
      <c r="Q44" s="76"/>
      <c r="R44" s="77" t="str">
        <f>VLOOKUP(23,TableLanguage,IndexLanguage,FALSE)</f>
        <v>Modified organic natural materials</v>
      </c>
      <c r="S44" s="78"/>
      <c r="T44" s="78"/>
      <c r="U44" s="78"/>
      <c r="V44" s="78"/>
      <c r="W44" s="78"/>
      <c r="X44" s="78"/>
      <c r="Y44" s="78"/>
      <c r="Z44" s="78"/>
      <c r="AA44" s="78"/>
      <c r="AB44" s="79"/>
    </row>
    <row r="45" spans="1:28" ht="14.25" customHeight="1" x14ac:dyDescent="0.2">
      <c r="A45" s="23">
        <v>25</v>
      </c>
      <c r="B45" s="130"/>
      <c r="C45" s="130"/>
      <c r="D45" s="135"/>
      <c r="E45" s="138"/>
      <c r="F45" s="102" t="str">
        <f>VLOOKUP(32,TableLanguage,IndexLanguage,FALSE)</f>
        <v>Other</v>
      </c>
      <c r="G45" s="102"/>
      <c r="H45" s="102"/>
      <c r="I45" s="102"/>
      <c r="J45" s="102"/>
      <c r="K45" s="102"/>
      <c r="L45" s="102"/>
      <c r="M45" s="64"/>
      <c r="N45" s="24" t="str">
        <f t="shared" si="0"/>
        <v>%</v>
      </c>
      <c r="O45" s="29"/>
      <c r="P45" s="80" t="str">
        <f>VLOOKUP(206,TableLanguage,IndexLanguage,FALSE)</f>
        <v>Material description</v>
      </c>
      <c r="Q45" s="81"/>
      <c r="R45" s="84" t="str">
        <f>VLOOKUP(240,TableLanguage,IndexLanguage,FALSE)</f>
        <v>Leather, wood, cotton, fleece …</v>
      </c>
      <c r="S45" s="85"/>
      <c r="T45" s="85"/>
      <c r="U45" s="85"/>
      <c r="V45" s="85"/>
      <c r="W45" s="85"/>
      <c r="X45" s="85"/>
      <c r="Y45" s="85"/>
      <c r="Z45" s="85"/>
      <c r="AA45" s="85"/>
      <c r="AB45" s="86"/>
    </row>
    <row r="46" spans="1:28" ht="14.25" customHeight="1" x14ac:dyDescent="0.2">
      <c r="A46" s="45"/>
      <c r="B46" s="46"/>
      <c r="C46" s="46"/>
      <c r="D46" s="46"/>
      <c r="E46" s="46"/>
      <c r="F46" s="46"/>
      <c r="G46" s="46"/>
      <c r="H46" s="46"/>
      <c r="I46" s="46"/>
      <c r="J46" s="46"/>
      <c r="K46" s="101" t="str">
        <f>VLOOKUP(104,TableLanguage,IndexLanguage,FALSE)</f>
        <v>Total:</v>
      </c>
      <c r="L46" s="101"/>
      <c r="M46" s="68">
        <f>SUM(D14:D45)</f>
        <v>0</v>
      </c>
      <c r="N46" s="27" t="str">
        <f t="shared" si="0"/>
        <v>%</v>
      </c>
      <c r="O46" s="29"/>
      <c r="P46" s="82"/>
      <c r="Q46" s="83"/>
      <c r="R46" s="87"/>
      <c r="S46" s="88"/>
      <c r="T46" s="88"/>
      <c r="U46" s="88"/>
      <c r="V46" s="88"/>
      <c r="W46" s="88"/>
      <c r="X46" s="88"/>
      <c r="Y46" s="88"/>
      <c r="Z46" s="88"/>
      <c r="AA46" s="88"/>
      <c r="AB46" s="89"/>
    </row>
    <row r="47" spans="1:28" ht="15" customHeight="1" x14ac:dyDescent="0.2">
      <c r="A47" s="90" t="str">
        <f>IF(N46="%",IF(M46=100,"",VLOOKUP(105,TableLanguage,IndexLanguage,FALSE)),IF(M46=F10,"",VLOOKUP(106,TableLanguage,IndexLanguage,FALSE)))</f>
        <v>The total sum must be 100%</v>
      </c>
      <c r="B47" s="90"/>
      <c r="C47" s="90"/>
      <c r="D47" s="90"/>
      <c r="E47" s="90"/>
      <c r="F47" s="90"/>
      <c r="G47" s="90"/>
      <c r="H47" s="90"/>
      <c r="I47" s="90"/>
      <c r="J47" s="90"/>
      <c r="K47" s="90"/>
      <c r="L47" s="90"/>
      <c r="M47" s="90"/>
      <c r="N47" s="90"/>
      <c r="O47" s="29"/>
      <c r="P47" s="43"/>
      <c r="Q47" s="43"/>
      <c r="R47" s="42"/>
      <c r="S47" s="42"/>
      <c r="T47" s="42"/>
      <c r="U47" s="42"/>
      <c r="V47" s="42"/>
      <c r="W47" s="42"/>
      <c r="X47" s="42"/>
      <c r="Y47" s="42"/>
      <c r="Z47" s="42"/>
      <c r="AA47" s="42"/>
      <c r="AB47" s="42"/>
    </row>
    <row r="48" spans="1:28" x14ac:dyDescent="0.2">
      <c r="A48" s="40"/>
      <c r="B48" s="40"/>
      <c r="C48" s="40"/>
      <c r="D48" s="40"/>
      <c r="E48" s="40"/>
      <c r="F48" s="40"/>
      <c r="G48" s="40"/>
      <c r="O48" s="29"/>
      <c r="P48" s="43"/>
      <c r="Q48" s="43"/>
      <c r="R48" s="40"/>
      <c r="S48" s="40"/>
      <c r="T48" s="40"/>
      <c r="U48" s="40"/>
      <c r="V48" s="40"/>
      <c r="W48" s="40"/>
      <c r="X48" s="40"/>
      <c r="Y48" s="40"/>
      <c r="Z48" s="40"/>
      <c r="AA48" s="40"/>
      <c r="AB48" s="40"/>
    </row>
    <row r="49" spans="1:28" x14ac:dyDescent="0.2">
      <c r="A49" s="40"/>
      <c r="B49" s="40"/>
      <c r="C49" s="40"/>
      <c r="D49" s="40"/>
      <c r="E49" s="40"/>
      <c r="F49" s="40"/>
      <c r="G49" s="40"/>
      <c r="H49" s="40"/>
      <c r="I49" s="40"/>
      <c r="J49" s="40"/>
      <c r="K49" s="40"/>
      <c r="L49" s="40"/>
      <c r="M49" s="40"/>
      <c r="N49" s="40"/>
      <c r="O49" s="29"/>
      <c r="P49" s="43"/>
      <c r="Q49" s="43"/>
      <c r="R49" s="40"/>
      <c r="S49" s="40"/>
      <c r="T49" s="40"/>
      <c r="U49" s="40"/>
      <c r="V49" s="40"/>
      <c r="W49" s="40"/>
      <c r="X49" s="40"/>
      <c r="Y49" s="40"/>
      <c r="Z49" s="40"/>
      <c r="AA49" s="40"/>
      <c r="AB49" s="40"/>
    </row>
    <row r="50" spans="1:28" x14ac:dyDescent="0.2">
      <c r="A50" s="40"/>
      <c r="B50" s="40"/>
      <c r="C50" s="40"/>
      <c r="D50" s="40"/>
      <c r="E50" s="40"/>
      <c r="F50" s="40"/>
      <c r="G50" s="40"/>
      <c r="H50" s="40"/>
      <c r="I50" s="40"/>
      <c r="J50" s="40"/>
      <c r="K50" s="40"/>
      <c r="L50" s="40"/>
      <c r="M50" s="40"/>
      <c r="N50" s="40"/>
      <c r="O50" s="29"/>
      <c r="P50" s="43"/>
      <c r="Q50" s="43"/>
      <c r="R50" s="40"/>
      <c r="S50" s="40"/>
      <c r="T50" s="40"/>
      <c r="U50" s="40"/>
      <c r="V50" s="40"/>
      <c r="W50" s="40"/>
      <c r="X50" s="40"/>
      <c r="Y50" s="40"/>
      <c r="Z50" s="40"/>
      <c r="AA50" s="40"/>
      <c r="AB50" s="40"/>
    </row>
    <row r="51" spans="1:28" x14ac:dyDescent="0.2">
      <c r="A51" s="40"/>
      <c r="B51" s="40"/>
      <c r="C51" s="40"/>
      <c r="D51" s="40"/>
      <c r="E51" s="40"/>
      <c r="F51" s="40"/>
      <c r="G51" s="40"/>
      <c r="H51" s="40"/>
      <c r="I51" s="40"/>
      <c r="J51" s="40"/>
      <c r="K51" s="40"/>
      <c r="L51" s="40"/>
      <c r="M51" s="40"/>
      <c r="N51" s="40"/>
      <c r="O51" s="29"/>
      <c r="P51" s="51"/>
      <c r="Q51" s="51"/>
      <c r="R51" s="51"/>
      <c r="S51" s="51"/>
      <c r="T51" s="51"/>
      <c r="U51" s="51"/>
      <c r="V51" s="51"/>
      <c r="W51" s="51"/>
      <c r="X51" s="51"/>
      <c r="Y51" s="51"/>
      <c r="Z51" s="51"/>
      <c r="AA51" s="51"/>
      <c r="AB51" s="51"/>
    </row>
    <row r="52" spans="1:28" ht="14.25" customHeight="1" x14ac:dyDescent="0.2">
      <c r="A52" s="40"/>
      <c r="B52" s="40"/>
      <c r="C52" s="40"/>
      <c r="D52" s="40"/>
      <c r="E52" s="40"/>
      <c r="F52" s="40"/>
      <c r="G52" s="40"/>
      <c r="H52" s="40"/>
      <c r="I52" s="40"/>
      <c r="J52" s="40"/>
      <c r="K52" s="40"/>
      <c r="L52" s="40"/>
      <c r="M52" s="40"/>
      <c r="N52" s="40"/>
      <c r="O52" s="29"/>
      <c r="P52" s="51"/>
      <c r="Q52" s="51"/>
      <c r="R52" s="51"/>
      <c r="S52" s="51"/>
      <c r="T52" s="51"/>
      <c r="U52" s="51"/>
      <c r="V52" s="51"/>
      <c r="W52" s="51"/>
      <c r="X52" s="51"/>
      <c r="Y52" s="51"/>
      <c r="Z52" s="51"/>
      <c r="AA52" s="51"/>
      <c r="AB52" s="51"/>
    </row>
    <row r="53" spans="1:28" x14ac:dyDescent="0.2">
      <c r="A53" s="40"/>
      <c r="B53" s="40"/>
      <c r="C53" s="40"/>
      <c r="D53" s="40"/>
      <c r="E53" s="40"/>
      <c r="F53" s="40"/>
      <c r="G53" s="40"/>
      <c r="H53" s="40"/>
      <c r="I53" s="40"/>
      <c r="J53" s="40"/>
      <c r="K53" s="40"/>
      <c r="L53" s="40"/>
      <c r="M53" s="40"/>
      <c r="N53" s="40"/>
      <c r="O53" s="29"/>
      <c r="P53" s="51"/>
      <c r="Q53" s="51"/>
      <c r="R53" s="51"/>
      <c r="S53" s="51"/>
      <c r="T53" s="51"/>
      <c r="U53" s="51"/>
      <c r="V53" s="51"/>
      <c r="W53" s="51"/>
      <c r="X53" s="51"/>
      <c r="Y53" s="51"/>
      <c r="Z53" s="51"/>
      <c r="AA53" s="51"/>
      <c r="AB53" s="51"/>
    </row>
    <row r="54" spans="1:28" ht="4.5" customHeight="1" x14ac:dyDescent="0.2">
      <c r="A54" s="36"/>
      <c r="B54" s="37"/>
      <c r="C54" s="37"/>
      <c r="D54" s="32"/>
      <c r="E54" s="38"/>
      <c r="F54" s="39"/>
      <c r="G54" s="39"/>
      <c r="H54" s="39"/>
      <c r="I54" s="39"/>
      <c r="J54" s="39"/>
      <c r="K54" s="39"/>
      <c r="L54" s="39"/>
      <c r="M54" s="52"/>
      <c r="N54" s="33"/>
      <c r="O54" s="29"/>
      <c r="P54" s="43"/>
      <c r="Q54" s="43"/>
      <c r="R54" s="40"/>
      <c r="S54" s="40"/>
      <c r="T54" s="40"/>
      <c r="U54" s="40"/>
      <c r="V54" s="40"/>
      <c r="W54" s="40"/>
      <c r="X54" s="40"/>
      <c r="Y54" s="40"/>
      <c r="Z54" s="40"/>
      <c r="AA54" s="40"/>
      <c r="AB54" s="40"/>
    </row>
    <row r="55" spans="1:28" ht="15" customHeight="1" x14ac:dyDescent="0.2">
      <c r="A55" s="148" t="str">
        <f>VLOOKUP(60,TableLanguage,IndexLanguage,FALSE)</f>
        <v>Monitored / Regulated materials</v>
      </c>
      <c r="B55" s="149"/>
      <c r="C55" s="149"/>
      <c r="D55" s="149"/>
      <c r="E55" s="149"/>
      <c r="F55" s="149"/>
      <c r="G55" s="149"/>
      <c r="H55" s="149"/>
      <c r="I55" s="149"/>
      <c r="J55" s="149"/>
      <c r="K55" s="149"/>
      <c r="L55" s="149"/>
      <c r="M55" s="149"/>
      <c r="N55" s="150"/>
      <c r="O55" s="164"/>
      <c r="P55" s="112" t="str">
        <f>VLOOKUP(306,TableLanguage,IndexLanguage,FALSE)</f>
        <v>Fill the weight of all prescribed materials;
These materials ŠKODA intends to monitor and regulate with a view to reducing environmental impact.
If the quantity of monitored / controlled material can not be accurately filled, it is possible to fill in the upper limit or, if there is no information, to leave the field blank.</v>
      </c>
      <c r="Q55" s="112"/>
      <c r="R55" s="112"/>
      <c r="S55" s="112"/>
      <c r="T55" s="112"/>
      <c r="U55" s="112"/>
      <c r="V55" s="112"/>
      <c r="W55" s="112"/>
      <c r="X55" s="112"/>
      <c r="Y55" s="112"/>
      <c r="Z55" s="112"/>
      <c r="AA55" s="112"/>
      <c r="AB55" s="112"/>
    </row>
    <row r="56" spans="1:28" x14ac:dyDescent="0.2">
      <c r="A56" s="151" t="str">
        <f>VLOOKUP(58,TableLanguage,IndexLanguage,FALSE)</f>
        <v>Material</v>
      </c>
      <c r="B56" s="152"/>
      <c r="C56" s="152"/>
      <c r="D56" s="152"/>
      <c r="E56" s="152"/>
      <c r="F56" s="125" t="str">
        <f>VLOOKUP(56,TableLanguage,IndexLanguage,FALSE)</f>
        <v>Mass</v>
      </c>
      <c r="G56" s="125"/>
      <c r="H56" s="152" t="str">
        <f>VLOOKUP(58,TableLanguage,IndexLanguage,FALSE)</f>
        <v>Material</v>
      </c>
      <c r="I56" s="152"/>
      <c r="J56" s="152"/>
      <c r="K56" s="152"/>
      <c r="L56" s="152"/>
      <c r="M56" s="125" t="str">
        <f>VLOOKUP(56,TableLanguage,IndexLanguage,FALSE)</f>
        <v>Mass</v>
      </c>
      <c r="N56" s="126"/>
      <c r="O56" s="164"/>
      <c r="P56" s="112"/>
      <c r="Q56" s="112"/>
      <c r="R56" s="112"/>
      <c r="S56" s="112"/>
      <c r="T56" s="112"/>
      <c r="U56" s="112"/>
      <c r="V56" s="112"/>
      <c r="W56" s="112"/>
      <c r="X56" s="112"/>
      <c r="Y56" s="112"/>
      <c r="Z56" s="112"/>
      <c r="AA56" s="112"/>
      <c r="AB56" s="112"/>
    </row>
    <row r="57" spans="1:28" x14ac:dyDescent="0.2">
      <c r="A57" s="127" t="str">
        <f>VLOOKUP(80,TableLanguage,IndexLanguage,FALSE)</f>
        <v xml:space="preserve">          Ag - Silver</v>
      </c>
      <c r="B57" s="128"/>
      <c r="C57" s="128"/>
      <c r="D57" s="128"/>
      <c r="E57" s="129"/>
      <c r="F57" s="64"/>
      <c r="G57" s="28" t="str">
        <f t="shared" ref="G57:G62" si="1">VLOOKUP(Zvolena_jednotka,UNITS_TAB,2,FALSE)</f>
        <v>%</v>
      </c>
      <c r="H57" s="102" t="str">
        <f>VLOOKUP(87,TableLanguage,IndexLanguage,FALSE)</f>
        <v xml:space="preserve">          Ni - Nickel</v>
      </c>
      <c r="I57" s="102"/>
      <c r="J57" s="102"/>
      <c r="K57" s="102"/>
      <c r="L57" s="102"/>
      <c r="M57" s="66"/>
      <c r="N57" s="24" t="str">
        <f>VLOOKUP(Zvolena_jednotka,UNITS_TAB,2,FALSE)</f>
        <v>%</v>
      </c>
      <c r="P57" s="112"/>
      <c r="Q57" s="112"/>
      <c r="R57" s="112"/>
      <c r="S57" s="112"/>
      <c r="T57" s="112"/>
      <c r="U57" s="112"/>
      <c r="V57" s="112"/>
      <c r="W57" s="112"/>
      <c r="X57" s="112"/>
      <c r="Y57" s="112"/>
      <c r="Z57" s="112"/>
      <c r="AA57" s="112"/>
      <c r="AB57" s="112"/>
    </row>
    <row r="58" spans="1:28" x14ac:dyDescent="0.2">
      <c r="A58" s="132" t="str">
        <f>VLOOKUP(81,TableLanguage,IndexLanguage,FALSE)</f>
        <v xml:space="preserve">          As - Arsenic</v>
      </c>
      <c r="B58" s="102"/>
      <c r="C58" s="102"/>
      <c r="D58" s="102"/>
      <c r="E58" s="102"/>
      <c r="F58" s="64"/>
      <c r="G58" s="28" t="str">
        <f t="shared" si="1"/>
        <v>%</v>
      </c>
      <c r="H58" s="102" t="str">
        <f>VLOOKUP(88,TableLanguage,IndexLanguage,FALSE)</f>
        <v xml:space="preserve">          Pb - Lead</v>
      </c>
      <c r="I58" s="102"/>
      <c r="J58" s="102"/>
      <c r="K58" s="102"/>
      <c r="L58" s="102"/>
      <c r="M58" s="64"/>
      <c r="N58" s="24" t="str">
        <f>VLOOKUP(Zvolena_jednotka,UNITS_TAB,2,FALSE)</f>
        <v>%</v>
      </c>
      <c r="P58" s="112"/>
      <c r="Q58" s="112"/>
      <c r="R58" s="112"/>
      <c r="S58" s="112"/>
      <c r="T58" s="112"/>
      <c r="U58" s="112"/>
      <c r="V58" s="112"/>
      <c r="W58" s="112"/>
      <c r="X58" s="112"/>
      <c r="Y58" s="112"/>
      <c r="Z58" s="112"/>
      <c r="AA58" s="112"/>
      <c r="AB58" s="112"/>
    </row>
    <row r="59" spans="1:28" x14ac:dyDescent="0.2">
      <c r="A59" s="132" t="str">
        <f>VLOOKUP(82,TableLanguage,IndexLanguage,FALSE)</f>
        <v xml:space="preserve">          Au - Gold</v>
      </c>
      <c r="B59" s="102"/>
      <c r="C59" s="102"/>
      <c r="D59" s="102"/>
      <c r="E59" s="102"/>
      <c r="F59" s="64"/>
      <c r="G59" s="28" t="str">
        <f t="shared" si="1"/>
        <v>%</v>
      </c>
      <c r="H59" s="102" t="str">
        <f>VLOOKUP(89,TableLanguage,IndexLanguage,FALSE)</f>
        <v xml:space="preserve">          V - Vanadium</v>
      </c>
      <c r="I59" s="102"/>
      <c r="J59" s="102"/>
      <c r="K59" s="102"/>
      <c r="L59" s="102"/>
      <c r="M59" s="64"/>
      <c r="N59" s="24" t="str">
        <f>VLOOKUP(Zvolena_jednotka,UNITS_TAB,2,FALSE)</f>
        <v>%</v>
      </c>
      <c r="P59" s="112"/>
      <c r="Q59" s="112"/>
      <c r="R59" s="112"/>
      <c r="S59" s="112"/>
      <c r="T59" s="112"/>
      <c r="U59" s="112"/>
      <c r="V59" s="112"/>
      <c r="W59" s="112"/>
      <c r="X59" s="112"/>
      <c r="Y59" s="112"/>
      <c r="Z59" s="112"/>
      <c r="AA59" s="112"/>
      <c r="AB59" s="112"/>
    </row>
    <row r="60" spans="1:28" x14ac:dyDescent="0.2">
      <c r="A60" s="132" t="str">
        <f>VLOOKUP(84,TableLanguage,IndexLanguage,FALSE)</f>
        <v xml:space="preserve">          Co - Cobalt</v>
      </c>
      <c r="B60" s="102"/>
      <c r="C60" s="102"/>
      <c r="D60" s="102"/>
      <c r="E60" s="102"/>
      <c r="F60" s="64"/>
      <c r="G60" s="28" t="str">
        <f t="shared" si="1"/>
        <v>%</v>
      </c>
      <c r="H60" s="102" t="str">
        <f>VLOOKUP(90,TableLanguage,IndexLanguage,FALSE)</f>
        <v xml:space="preserve">          Asbestos</v>
      </c>
      <c r="I60" s="102"/>
      <c r="J60" s="102"/>
      <c r="K60" s="102"/>
      <c r="L60" s="102"/>
      <c r="M60" s="66"/>
      <c r="N60" s="24" t="str">
        <f>VLOOKUP(Zvolena_jednotka,UNITS_TAB,2,FALSE)</f>
        <v>%</v>
      </c>
      <c r="P60" s="44"/>
      <c r="Q60" s="44"/>
      <c r="R60" s="44"/>
      <c r="S60" s="44"/>
      <c r="T60" s="44"/>
      <c r="U60" s="44"/>
      <c r="V60" s="44"/>
      <c r="W60" s="44"/>
      <c r="X60" s="44"/>
      <c r="Y60" s="44"/>
      <c r="Z60" s="44"/>
      <c r="AA60" s="44"/>
      <c r="AB60" s="44"/>
    </row>
    <row r="61" spans="1:28" x14ac:dyDescent="0.2">
      <c r="A61" s="132" t="str">
        <f>VLOOKUP(85,TableLanguage,IndexLanguage,FALSE)</f>
        <v xml:space="preserve">          Cr - Chromium</v>
      </c>
      <c r="B61" s="102"/>
      <c r="C61" s="102"/>
      <c r="D61" s="102"/>
      <c r="E61" s="102"/>
      <c r="F61" s="64"/>
      <c r="G61" s="28" t="str">
        <f t="shared" si="1"/>
        <v>%</v>
      </c>
      <c r="H61" s="102" t="str">
        <f>VLOOKUP(91,TableLanguage,IndexLanguage,FALSE)</f>
        <v xml:space="preserve">          Freon</v>
      </c>
      <c r="I61" s="102"/>
      <c r="J61" s="102"/>
      <c r="K61" s="102"/>
      <c r="L61" s="102"/>
      <c r="M61" s="64"/>
      <c r="N61" s="24" t="str">
        <f>VLOOKUP(Zvolena_jednotka,UNITS_TAB,2,FALSE)</f>
        <v>%</v>
      </c>
    </row>
    <row r="62" spans="1:28" x14ac:dyDescent="0.2">
      <c r="A62" s="161" t="str">
        <f>VLOOKUP(86,TableLanguage,IndexLanguage,FALSE)</f>
        <v xml:space="preserve">          Hg - Mercury</v>
      </c>
      <c r="B62" s="162"/>
      <c r="C62" s="162"/>
      <c r="D62" s="162"/>
      <c r="E62" s="162"/>
      <c r="F62" s="65"/>
      <c r="G62" s="28" t="str">
        <f t="shared" si="1"/>
        <v>%</v>
      </c>
      <c r="H62" s="124"/>
      <c r="I62" s="121"/>
      <c r="J62" s="121"/>
      <c r="K62" s="121"/>
      <c r="L62" s="163"/>
      <c r="M62" s="68"/>
      <c r="N62" s="27"/>
      <c r="P62" s="111" t="str">
        <f>VLOOKUP(307,TableLanguage,IndexLanguage,FALSE)</f>
        <v>Fill in all the materials and chemicals intended for pretreatment before recycling;
In the pretreatment all consumables and hazardous substances are removed from the vehicle. Substances falling within the above categories 13, 14, 15, 20, 21, 22, 23, 24, 25 should be included here.</v>
      </c>
      <c r="Q62" s="111"/>
      <c r="R62" s="111"/>
      <c r="S62" s="111"/>
      <c r="T62" s="111"/>
      <c r="U62" s="111"/>
      <c r="V62" s="111"/>
      <c r="W62" s="111"/>
      <c r="X62" s="111"/>
      <c r="Y62" s="111"/>
      <c r="Z62" s="111"/>
      <c r="AA62" s="111"/>
      <c r="AB62" s="111"/>
    </row>
    <row r="63" spans="1:28" x14ac:dyDescent="0.2">
      <c r="A63" s="116" t="str">
        <f>VLOOKUP(61,TableLanguage,IndexLanguage,FALSE)</f>
        <v>Regulation of materials is monitored with respect to reducing the environmental impact.</v>
      </c>
      <c r="B63" s="116"/>
      <c r="C63" s="116"/>
      <c r="D63" s="116"/>
      <c r="E63" s="116"/>
      <c r="F63" s="116"/>
      <c r="G63" s="116"/>
      <c r="H63" s="116"/>
      <c r="I63" s="116"/>
      <c r="J63" s="116"/>
      <c r="K63" s="116"/>
      <c r="L63" s="116"/>
      <c r="M63" s="116"/>
      <c r="N63" s="116"/>
      <c r="P63" s="111"/>
      <c r="Q63" s="111"/>
      <c r="R63" s="111"/>
      <c r="S63" s="111"/>
      <c r="T63" s="111"/>
      <c r="U63" s="111"/>
      <c r="V63" s="111"/>
      <c r="W63" s="111"/>
      <c r="X63" s="111"/>
      <c r="Y63" s="111"/>
      <c r="Z63" s="111"/>
      <c r="AA63" s="111"/>
      <c r="AB63" s="111"/>
    </row>
    <row r="64" spans="1:28" x14ac:dyDescent="0.2">
      <c r="A64" s="39"/>
      <c r="B64" s="39"/>
      <c r="C64" s="39"/>
      <c r="D64" s="39"/>
      <c r="E64" s="39"/>
      <c r="F64" s="39"/>
      <c r="G64" s="39"/>
      <c r="H64" s="39"/>
      <c r="I64" s="39"/>
      <c r="J64" s="39"/>
      <c r="K64" s="39"/>
      <c r="L64" s="39"/>
      <c r="M64" s="39"/>
      <c r="N64" s="39"/>
      <c r="P64" s="111"/>
      <c r="Q64" s="111"/>
      <c r="R64" s="111"/>
      <c r="S64" s="111"/>
      <c r="T64" s="111"/>
      <c r="U64" s="111"/>
      <c r="V64" s="111"/>
      <c r="W64" s="111"/>
      <c r="X64" s="111"/>
      <c r="Y64" s="111"/>
      <c r="Z64" s="111"/>
      <c r="AA64" s="111"/>
      <c r="AB64" s="111"/>
    </row>
    <row r="65" spans="1:28" ht="4.5" customHeight="1" x14ac:dyDescent="0.2">
      <c r="A65" s="6"/>
      <c r="P65" s="111"/>
      <c r="Q65" s="111"/>
      <c r="R65" s="111"/>
      <c r="S65" s="111"/>
      <c r="T65" s="111"/>
      <c r="U65" s="111"/>
      <c r="V65" s="111"/>
      <c r="W65" s="111"/>
      <c r="X65" s="111"/>
      <c r="Y65" s="111"/>
      <c r="Z65" s="111"/>
      <c r="AA65" s="111"/>
      <c r="AB65" s="111"/>
    </row>
    <row r="66" spans="1:28" ht="15" customHeight="1" x14ac:dyDescent="0.2">
      <c r="A66" s="148" t="str">
        <f>VLOOKUP(100,TableLanguage,IndexLanguage,FALSE)</f>
        <v>Identification for pretreatment</v>
      </c>
      <c r="B66" s="149"/>
      <c r="C66" s="149"/>
      <c r="D66" s="149"/>
      <c r="E66" s="149"/>
      <c r="F66" s="149"/>
      <c r="G66" s="149"/>
      <c r="H66" s="149"/>
      <c r="I66" s="149"/>
      <c r="J66" s="149"/>
      <c r="K66" s="149"/>
      <c r="L66" s="149"/>
      <c r="M66" s="149"/>
      <c r="N66" s="150"/>
      <c r="P66" s="111"/>
      <c r="Q66" s="111"/>
      <c r="R66" s="111"/>
      <c r="S66" s="111"/>
      <c r="T66" s="111"/>
      <c r="U66" s="111"/>
      <c r="V66" s="111"/>
      <c r="W66" s="111"/>
      <c r="X66" s="111"/>
      <c r="Y66" s="111"/>
      <c r="Z66" s="111"/>
      <c r="AA66" s="111"/>
      <c r="AB66" s="111"/>
    </row>
    <row r="67" spans="1:28" x14ac:dyDescent="0.2">
      <c r="A67" s="49" t="str">
        <f>VLOOKUP(59,TableLanguage,IndexLanguage,FALSE)</f>
        <v>Categ.</v>
      </c>
      <c r="B67" s="147" t="str">
        <f>VLOOKUP(102,TableLanguage,IndexLanguage,FALSE)</f>
        <v>Device / Material / Substance</v>
      </c>
      <c r="C67" s="147"/>
      <c r="D67" s="147"/>
      <c r="E67" s="147"/>
      <c r="F67" s="147"/>
      <c r="G67" s="147" t="str">
        <f>VLOOKUP(103,TableLanguage,IndexLanguage,FALSE)</f>
        <v>Location in device</v>
      </c>
      <c r="H67" s="147"/>
      <c r="I67" s="147"/>
      <c r="J67" s="147"/>
      <c r="K67" s="147" t="str">
        <f>VLOOKUP(101,TableLanguage,IndexLanguage,FALSE)</f>
        <v>CAS Number</v>
      </c>
      <c r="L67" s="147"/>
      <c r="M67" s="117" t="str">
        <f>VLOOKUP(56,TableLanguage,IndexLanguage,FALSE)</f>
        <v>Mass</v>
      </c>
      <c r="N67" s="118"/>
      <c r="P67" s="111"/>
      <c r="Q67" s="111"/>
      <c r="R67" s="111"/>
      <c r="S67" s="111"/>
      <c r="T67" s="111"/>
      <c r="U67" s="111"/>
      <c r="V67" s="111"/>
      <c r="W67" s="111"/>
      <c r="X67" s="111"/>
      <c r="Y67" s="111"/>
      <c r="Z67" s="111"/>
      <c r="AA67" s="111"/>
      <c r="AB67" s="111"/>
    </row>
    <row r="68" spans="1:28" x14ac:dyDescent="0.2">
      <c r="A68" s="30"/>
      <c r="B68" s="114"/>
      <c r="C68" s="114"/>
      <c r="D68" s="114"/>
      <c r="E68" s="114"/>
      <c r="F68" s="114"/>
      <c r="G68" s="114"/>
      <c r="H68" s="114"/>
      <c r="I68" s="114"/>
      <c r="J68" s="114"/>
      <c r="K68" s="115"/>
      <c r="L68" s="115"/>
      <c r="M68" s="66">
        <v>0</v>
      </c>
      <c r="N68" s="24" t="str">
        <f t="shared" ref="N68:N78" si="2">Zvolena_jednotka</f>
        <v>%</v>
      </c>
      <c r="P68" s="175" t="str">
        <f>VLOOKUP(308,TableLanguage,IndexLanguage,FALSE)</f>
        <v>Select a category;
Fill the location on the device if the information is relevant;
Fill in the CAS number if the information is relevant; The CAS number allows unambiguous identification of the substance used
Fill the weight;</v>
      </c>
      <c r="Q68" s="175"/>
      <c r="R68" s="175"/>
      <c r="S68" s="175"/>
      <c r="T68" s="175"/>
      <c r="U68" s="175"/>
      <c r="V68" s="175"/>
      <c r="W68" s="175"/>
      <c r="X68" s="175"/>
      <c r="Y68" s="175"/>
      <c r="Z68" s="175"/>
      <c r="AA68" s="175"/>
      <c r="AB68" s="175"/>
    </row>
    <row r="69" spans="1:28" x14ac:dyDescent="0.2">
      <c r="A69" s="30"/>
      <c r="B69" s="114"/>
      <c r="C69" s="114"/>
      <c r="D69" s="114"/>
      <c r="E69" s="114"/>
      <c r="F69" s="114"/>
      <c r="G69" s="114"/>
      <c r="H69" s="114"/>
      <c r="I69" s="114"/>
      <c r="J69" s="114"/>
      <c r="K69" s="115"/>
      <c r="L69" s="115"/>
      <c r="M69" s="66">
        <v>0</v>
      </c>
      <c r="N69" s="24" t="str">
        <f t="shared" si="2"/>
        <v>%</v>
      </c>
      <c r="P69" s="175"/>
      <c r="Q69" s="175"/>
      <c r="R69" s="175"/>
      <c r="S69" s="175"/>
      <c r="T69" s="175"/>
      <c r="U69" s="175"/>
      <c r="V69" s="175"/>
      <c r="W69" s="175"/>
      <c r="X69" s="175"/>
      <c r="Y69" s="175"/>
      <c r="Z69" s="175"/>
      <c r="AA69" s="175"/>
      <c r="AB69" s="175"/>
    </row>
    <row r="70" spans="1:28" x14ac:dyDescent="0.2">
      <c r="A70" s="30"/>
      <c r="B70" s="114"/>
      <c r="C70" s="114"/>
      <c r="D70" s="114"/>
      <c r="E70" s="114"/>
      <c r="F70" s="114"/>
      <c r="G70" s="114"/>
      <c r="H70" s="114"/>
      <c r="I70" s="114"/>
      <c r="J70" s="114"/>
      <c r="K70" s="115"/>
      <c r="L70" s="115"/>
      <c r="M70" s="66">
        <v>0</v>
      </c>
      <c r="N70" s="24" t="str">
        <f t="shared" si="2"/>
        <v>%</v>
      </c>
      <c r="P70" s="175"/>
      <c r="Q70" s="175"/>
      <c r="R70" s="175"/>
      <c r="S70" s="175"/>
      <c r="T70" s="175"/>
      <c r="U70" s="175"/>
      <c r="V70" s="175"/>
      <c r="W70" s="175"/>
      <c r="X70" s="175"/>
      <c r="Y70" s="175"/>
      <c r="Z70" s="175"/>
      <c r="AA70" s="175"/>
      <c r="AB70" s="175"/>
    </row>
    <row r="71" spans="1:28" x14ac:dyDescent="0.2">
      <c r="A71" s="30"/>
      <c r="B71" s="114"/>
      <c r="C71" s="114"/>
      <c r="D71" s="114"/>
      <c r="E71" s="114"/>
      <c r="F71" s="114"/>
      <c r="G71" s="114"/>
      <c r="H71" s="114"/>
      <c r="I71" s="114"/>
      <c r="J71" s="114"/>
      <c r="K71" s="115"/>
      <c r="L71" s="115"/>
      <c r="M71" s="66">
        <v>0</v>
      </c>
      <c r="N71" s="24" t="str">
        <f t="shared" si="2"/>
        <v>%</v>
      </c>
      <c r="P71" s="175"/>
      <c r="Q71" s="175"/>
      <c r="R71" s="175"/>
      <c r="S71" s="175"/>
      <c r="T71" s="175"/>
      <c r="U71" s="175"/>
      <c r="V71" s="175"/>
      <c r="W71" s="175"/>
      <c r="X71" s="175"/>
      <c r="Y71" s="175"/>
      <c r="Z71" s="175"/>
      <c r="AA71" s="175"/>
      <c r="AB71" s="175"/>
    </row>
    <row r="72" spans="1:28" x14ac:dyDescent="0.2">
      <c r="A72" s="30"/>
      <c r="B72" s="114"/>
      <c r="C72" s="114"/>
      <c r="D72" s="114"/>
      <c r="E72" s="114"/>
      <c r="F72" s="114"/>
      <c r="G72" s="114"/>
      <c r="H72" s="114"/>
      <c r="I72" s="114"/>
      <c r="J72" s="114"/>
      <c r="K72" s="115"/>
      <c r="L72" s="115"/>
      <c r="M72" s="66">
        <v>0</v>
      </c>
      <c r="N72" s="24" t="str">
        <f t="shared" si="2"/>
        <v>%</v>
      </c>
      <c r="P72" s="175"/>
      <c r="Q72" s="175"/>
      <c r="R72" s="175"/>
      <c r="S72" s="175"/>
      <c r="T72" s="175"/>
      <c r="U72" s="175"/>
      <c r="V72" s="175"/>
      <c r="W72" s="175"/>
      <c r="X72" s="175"/>
      <c r="Y72" s="175"/>
      <c r="Z72" s="175"/>
      <c r="AA72" s="175"/>
      <c r="AB72" s="175"/>
    </row>
    <row r="73" spans="1:28" x14ac:dyDescent="0.2">
      <c r="A73" s="30"/>
      <c r="B73" s="114"/>
      <c r="C73" s="114"/>
      <c r="D73" s="114"/>
      <c r="E73" s="114"/>
      <c r="F73" s="114"/>
      <c r="G73" s="114"/>
      <c r="H73" s="114"/>
      <c r="I73" s="114"/>
      <c r="J73" s="114"/>
      <c r="K73" s="115"/>
      <c r="L73" s="115"/>
      <c r="M73" s="66">
        <v>0</v>
      </c>
      <c r="N73" s="24" t="str">
        <f t="shared" si="2"/>
        <v>%</v>
      </c>
      <c r="P73" s="175"/>
      <c r="Q73" s="175"/>
      <c r="R73" s="175"/>
      <c r="S73" s="175"/>
      <c r="T73" s="175"/>
      <c r="U73" s="175"/>
      <c r="V73" s="175"/>
      <c r="W73" s="175"/>
      <c r="X73" s="175"/>
      <c r="Y73" s="175"/>
      <c r="Z73" s="175"/>
      <c r="AA73" s="175"/>
      <c r="AB73" s="175"/>
    </row>
    <row r="74" spans="1:28" ht="14.25" customHeight="1" x14ac:dyDescent="0.2">
      <c r="A74" s="30"/>
      <c r="B74" s="114"/>
      <c r="C74" s="114"/>
      <c r="D74" s="114"/>
      <c r="E74" s="114"/>
      <c r="F74" s="114"/>
      <c r="G74" s="114"/>
      <c r="H74" s="114"/>
      <c r="I74" s="114"/>
      <c r="J74" s="114"/>
      <c r="K74" s="115"/>
      <c r="L74" s="115"/>
      <c r="M74" s="66">
        <v>0</v>
      </c>
      <c r="N74" s="24" t="str">
        <f t="shared" si="2"/>
        <v>%</v>
      </c>
      <c r="O74" s="4"/>
      <c r="P74" s="44"/>
      <c r="Q74" s="44"/>
      <c r="R74" s="44"/>
      <c r="S74" s="44"/>
      <c r="T74" s="44"/>
      <c r="U74" s="44"/>
      <c r="V74" s="44"/>
      <c r="W74" s="44"/>
      <c r="X74" s="44"/>
      <c r="Y74" s="44"/>
      <c r="Z74" s="44"/>
      <c r="AA74" s="44"/>
      <c r="AB74" s="44"/>
    </row>
    <row r="75" spans="1:28" x14ac:dyDescent="0.2">
      <c r="A75" s="30"/>
      <c r="B75" s="114"/>
      <c r="C75" s="114"/>
      <c r="D75" s="114"/>
      <c r="E75" s="114"/>
      <c r="F75" s="114"/>
      <c r="G75" s="114"/>
      <c r="H75" s="114"/>
      <c r="I75" s="114"/>
      <c r="J75" s="114"/>
      <c r="K75" s="115"/>
      <c r="L75" s="115"/>
      <c r="M75" s="66">
        <v>0</v>
      </c>
      <c r="N75" s="24" t="str">
        <f t="shared" si="2"/>
        <v>%</v>
      </c>
      <c r="O75" s="44"/>
      <c r="P75" s="44"/>
      <c r="Q75" s="44"/>
      <c r="R75" s="44"/>
      <c r="S75" s="44"/>
      <c r="T75" s="44"/>
      <c r="U75" s="44"/>
      <c r="V75" s="44"/>
      <c r="W75" s="44"/>
      <c r="X75" s="44"/>
      <c r="Y75" s="44"/>
      <c r="Z75" s="44"/>
      <c r="AA75" s="44"/>
      <c r="AB75" s="44"/>
    </row>
    <row r="76" spans="1:28" x14ac:dyDescent="0.2">
      <c r="A76" s="30"/>
      <c r="B76" s="114"/>
      <c r="C76" s="114"/>
      <c r="D76" s="114"/>
      <c r="E76" s="114"/>
      <c r="F76" s="114"/>
      <c r="G76" s="114"/>
      <c r="H76" s="114"/>
      <c r="I76" s="114"/>
      <c r="J76" s="114"/>
      <c r="K76" s="115"/>
      <c r="L76" s="115"/>
      <c r="M76" s="66">
        <v>0</v>
      </c>
      <c r="N76" s="24" t="str">
        <f t="shared" si="2"/>
        <v>%</v>
      </c>
      <c r="O76" s="44"/>
      <c r="P76" s="44"/>
      <c r="Q76" s="44"/>
      <c r="R76" s="44"/>
      <c r="S76" s="44"/>
      <c r="T76" s="44"/>
      <c r="U76" s="44"/>
      <c r="V76" s="44"/>
      <c r="W76" s="44"/>
      <c r="X76" s="44"/>
      <c r="Y76" s="44"/>
      <c r="Z76" s="44"/>
      <c r="AA76" s="44"/>
      <c r="AB76" s="44"/>
    </row>
    <row r="77" spans="1:28" x14ac:dyDescent="0.2">
      <c r="A77" s="30"/>
      <c r="B77" s="114"/>
      <c r="C77" s="114"/>
      <c r="D77" s="114"/>
      <c r="E77" s="114"/>
      <c r="F77" s="114"/>
      <c r="G77" s="114"/>
      <c r="H77" s="114"/>
      <c r="I77" s="114"/>
      <c r="J77" s="114"/>
      <c r="K77" s="115"/>
      <c r="L77" s="115"/>
      <c r="M77" s="66">
        <v>0</v>
      </c>
      <c r="N77" s="24" t="str">
        <f t="shared" si="2"/>
        <v>%</v>
      </c>
      <c r="O77" s="44"/>
      <c r="P77" s="44"/>
      <c r="Q77" s="44"/>
      <c r="R77" s="44"/>
      <c r="S77" s="44"/>
      <c r="T77" s="44"/>
      <c r="U77" s="44"/>
      <c r="V77" s="44"/>
      <c r="W77" s="44"/>
      <c r="X77" s="44"/>
      <c r="Y77" s="44"/>
      <c r="Z77" s="44"/>
      <c r="AA77" s="44"/>
      <c r="AB77" s="44"/>
    </row>
    <row r="78" spans="1:28" x14ac:dyDescent="0.2">
      <c r="A78" s="122"/>
      <c r="B78" s="123"/>
      <c r="C78" s="123"/>
      <c r="D78" s="123"/>
      <c r="E78" s="123"/>
      <c r="F78" s="123"/>
      <c r="G78" s="123"/>
      <c r="H78" s="123"/>
      <c r="I78" s="123"/>
      <c r="J78" s="124"/>
      <c r="K78" s="121" t="str">
        <f>VLOOKUP(104,TableLanguage,IndexLanguage,FALSE)</f>
        <v>Total:</v>
      </c>
      <c r="L78" s="121"/>
      <c r="M78" s="70">
        <f>SUM($M$68:$M$77)</f>
        <v>0</v>
      </c>
      <c r="N78" s="27" t="str">
        <f t="shared" si="2"/>
        <v>%</v>
      </c>
      <c r="O78" s="44"/>
      <c r="P78" s="44"/>
      <c r="Q78" s="44"/>
      <c r="R78" s="44"/>
      <c r="S78" s="44"/>
      <c r="T78" s="44"/>
      <c r="U78" s="44"/>
      <c r="V78" s="44"/>
      <c r="W78" s="44"/>
      <c r="X78" s="44"/>
      <c r="Y78" s="44"/>
      <c r="Z78" s="44"/>
      <c r="AA78" s="44"/>
      <c r="AB78" s="44"/>
    </row>
    <row r="79" spans="1:28" ht="4.5" customHeight="1" x14ac:dyDescent="0.2">
      <c r="A79" s="31"/>
      <c r="B79" s="31"/>
      <c r="C79" s="31"/>
      <c r="D79" s="31"/>
      <c r="E79" s="31"/>
      <c r="F79" s="32"/>
      <c r="G79" s="33"/>
      <c r="H79" s="31"/>
      <c r="I79" s="31"/>
      <c r="J79" s="31"/>
      <c r="K79" s="31"/>
      <c r="L79" s="31"/>
      <c r="M79" s="32"/>
      <c r="N79" s="33"/>
      <c r="O79" s="44"/>
      <c r="P79" s="44"/>
      <c r="Q79" s="44"/>
      <c r="R79" s="44"/>
      <c r="S79" s="44"/>
      <c r="T79" s="44"/>
      <c r="U79" s="44"/>
      <c r="V79" s="44"/>
      <c r="W79" s="44"/>
      <c r="X79" s="44"/>
      <c r="Y79" s="44"/>
      <c r="Z79" s="44"/>
      <c r="AA79" s="44"/>
      <c r="AB79" s="44"/>
    </row>
    <row r="80" spans="1:28" ht="14.25" customHeight="1" x14ac:dyDescent="0.2">
      <c r="A80" s="119" t="str">
        <f>VLOOKUP(63,TableLanguage,IndexLanguage,FALSE)</f>
        <v>The device is in accordance with the Regulation no. 1907/2006 (REACH) of the European Parliament and of the Council.</v>
      </c>
      <c r="B80" s="119"/>
      <c r="C80" s="119"/>
      <c r="D80" s="119"/>
      <c r="E80" s="119"/>
      <c r="F80" s="119"/>
      <c r="G80" s="119"/>
      <c r="H80" s="119"/>
      <c r="I80" s="119"/>
      <c r="J80" s="119"/>
      <c r="K80" s="119"/>
      <c r="L80" s="119"/>
      <c r="M80" s="119"/>
      <c r="N80" s="119"/>
      <c r="O80" s="112" t="str">
        <f>VLOOKUP(309,TableLanguage,IndexLanguage,FALSE)</f>
        <v>The Supplier must apply and respect the list of REACH  (EC) no. 1907/2006, Article 59, which describes the substances with a very hazardous properties. These substances must not be included in the materials products or chemical compounds that are used on the vehicle. If the substance according to EC Article 1907/2006, Article 31, is used, the safety data sheets must be supplied with this document.
The Supplier must apply and fulfill provision resulting from Directive 2011/65/EU of the European Parliament and of the Council of 8 June 2011 on the restriction of the use of certain hazardous substances in electrical and electronic equipment (RoHS2).</v>
      </c>
      <c r="P80" s="112"/>
      <c r="Q80" s="112"/>
      <c r="R80" s="112"/>
      <c r="S80" s="112"/>
      <c r="T80" s="112"/>
      <c r="U80" s="112"/>
      <c r="V80" s="112"/>
      <c r="W80" s="112"/>
      <c r="X80" s="112"/>
      <c r="Y80" s="112"/>
      <c r="Z80" s="112"/>
      <c r="AA80" s="112"/>
      <c r="AB80" s="112"/>
    </row>
    <row r="81" spans="1:28" x14ac:dyDescent="0.2">
      <c r="A81" s="120" t="str">
        <f>VLOOKUP(64,TableLanguage,IndexLanguage,FALSE)</f>
        <v>The device is in accordance with Directive 2011/65/EU (RoHS 2) of European Parliament and Council. (For electrical and electronic equipment)</v>
      </c>
      <c r="B81" s="120"/>
      <c r="C81" s="120"/>
      <c r="D81" s="120"/>
      <c r="E81" s="120"/>
      <c r="F81" s="120"/>
      <c r="G81" s="120"/>
      <c r="H81" s="120"/>
      <c r="I81" s="120"/>
      <c r="J81" s="120"/>
      <c r="K81" s="120"/>
      <c r="L81" s="120"/>
      <c r="M81" s="120"/>
      <c r="N81" s="120"/>
      <c r="O81" s="112"/>
      <c r="P81" s="112"/>
      <c r="Q81" s="112"/>
      <c r="R81" s="112"/>
      <c r="S81" s="112"/>
      <c r="T81" s="112"/>
      <c r="U81" s="112"/>
      <c r="V81" s="112"/>
      <c r="W81" s="112"/>
      <c r="X81" s="112"/>
      <c r="Y81" s="112"/>
      <c r="Z81" s="112"/>
      <c r="AA81" s="112"/>
      <c r="AB81" s="112"/>
    </row>
    <row r="82" spans="1:28" ht="14.25" customHeight="1" x14ac:dyDescent="0.2">
      <c r="A82" s="120"/>
      <c r="B82" s="120"/>
      <c r="C82" s="120"/>
      <c r="D82" s="120"/>
      <c r="E82" s="120"/>
      <c r="F82" s="120"/>
      <c r="G82" s="120"/>
      <c r="H82" s="120"/>
      <c r="I82" s="120"/>
      <c r="J82" s="120"/>
      <c r="K82" s="120"/>
      <c r="L82" s="120"/>
      <c r="M82" s="120"/>
      <c r="N82" s="120"/>
      <c r="O82" s="112"/>
      <c r="P82" s="112"/>
      <c r="Q82" s="112"/>
      <c r="R82" s="112"/>
      <c r="S82" s="112"/>
      <c r="T82" s="112"/>
      <c r="U82" s="112"/>
      <c r="V82" s="112"/>
      <c r="W82" s="112"/>
      <c r="X82" s="112"/>
      <c r="Y82" s="112"/>
      <c r="Z82" s="112"/>
      <c r="AA82" s="112"/>
      <c r="AB82" s="112"/>
    </row>
    <row r="83" spans="1:28" ht="14.25" customHeight="1" x14ac:dyDescent="0.2">
      <c r="A83" s="36"/>
      <c r="B83" s="36"/>
      <c r="C83" s="36"/>
      <c r="D83" s="36"/>
      <c r="E83" s="36"/>
      <c r="F83" s="36"/>
      <c r="G83" s="36"/>
      <c r="H83" s="36"/>
      <c r="I83" s="36"/>
      <c r="J83" s="36"/>
      <c r="K83" s="36"/>
      <c r="L83" s="36"/>
      <c r="M83" s="36"/>
      <c r="N83" s="36"/>
      <c r="O83" s="112"/>
      <c r="P83" s="112"/>
      <c r="Q83" s="112"/>
      <c r="R83" s="112"/>
      <c r="S83" s="112"/>
      <c r="T83" s="112"/>
      <c r="U83" s="112"/>
      <c r="V83" s="112"/>
      <c r="W83" s="112"/>
      <c r="X83" s="112"/>
      <c r="Y83" s="112"/>
      <c r="Z83" s="112"/>
      <c r="AA83" s="112"/>
      <c r="AB83" s="112"/>
    </row>
    <row r="84" spans="1:28" ht="14.25" customHeight="1" x14ac:dyDescent="0.2">
      <c r="A84" s="36"/>
      <c r="B84" s="36"/>
      <c r="C84" s="36"/>
      <c r="D84" s="36"/>
      <c r="E84" s="36"/>
      <c r="F84" s="36"/>
      <c r="G84" s="36"/>
      <c r="H84" s="36"/>
      <c r="I84" s="36"/>
      <c r="J84" s="36"/>
      <c r="K84" s="36"/>
      <c r="L84" s="36"/>
      <c r="M84" s="36"/>
      <c r="N84" s="36"/>
      <c r="O84" s="112"/>
      <c r="P84" s="112"/>
      <c r="Q84" s="112"/>
      <c r="R84" s="112"/>
      <c r="S84" s="112"/>
      <c r="T84" s="112"/>
      <c r="U84" s="112"/>
      <c r="V84" s="112"/>
      <c r="W84" s="112"/>
      <c r="X84" s="112"/>
      <c r="Y84" s="112"/>
      <c r="Z84" s="112"/>
      <c r="AA84" s="112"/>
      <c r="AB84" s="112"/>
    </row>
    <row r="85" spans="1:28" ht="14.25" customHeight="1" x14ac:dyDescent="0.2">
      <c r="A85" s="36"/>
      <c r="B85" s="36"/>
      <c r="C85" s="36"/>
      <c r="D85" s="36"/>
      <c r="E85" s="36"/>
      <c r="F85" s="36"/>
      <c r="G85" s="36"/>
      <c r="H85" s="36"/>
      <c r="I85" s="36"/>
      <c r="J85" s="36"/>
      <c r="K85" s="36"/>
      <c r="L85" s="36"/>
      <c r="M85" s="36"/>
      <c r="N85" s="36"/>
      <c r="O85" s="112"/>
      <c r="P85" s="112"/>
      <c r="Q85" s="112"/>
      <c r="R85" s="112"/>
      <c r="S85" s="112"/>
      <c r="T85" s="112"/>
      <c r="U85" s="112"/>
      <c r="V85" s="112"/>
      <c r="W85" s="112"/>
      <c r="X85" s="112"/>
      <c r="Y85" s="112"/>
      <c r="Z85" s="112"/>
      <c r="AA85" s="112"/>
      <c r="AB85" s="112"/>
    </row>
    <row r="86" spans="1:28" ht="14.25" customHeight="1" x14ac:dyDescent="0.2">
      <c r="A86" s="36"/>
      <c r="B86" s="36"/>
      <c r="C86" s="36"/>
      <c r="D86" s="36"/>
      <c r="E86" s="36"/>
      <c r="F86" s="36"/>
      <c r="G86" s="36"/>
      <c r="H86" s="36"/>
      <c r="I86" s="36"/>
      <c r="J86" s="36"/>
      <c r="K86" s="36"/>
      <c r="L86" s="36"/>
      <c r="M86" s="36"/>
      <c r="N86" s="36"/>
      <c r="O86" s="112"/>
      <c r="P86" s="112"/>
      <c r="Q86" s="112"/>
      <c r="R86" s="112"/>
      <c r="S86" s="112"/>
      <c r="T86" s="112"/>
      <c r="U86" s="112"/>
      <c r="V86" s="112"/>
      <c r="W86" s="112"/>
      <c r="X86" s="112"/>
      <c r="Y86" s="112"/>
      <c r="Z86" s="112"/>
      <c r="AA86" s="112"/>
      <c r="AB86" s="112"/>
    </row>
    <row r="87" spans="1:28" ht="14.25" customHeight="1" x14ac:dyDescent="0.2">
      <c r="A87" s="36"/>
      <c r="B87" s="36"/>
      <c r="C87" s="36"/>
      <c r="D87" s="36"/>
      <c r="E87" s="36"/>
      <c r="F87" s="36"/>
      <c r="G87" s="36"/>
      <c r="H87" s="36"/>
      <c r="I87" s="36"/>
      <c r="J87" s="36"/>
      <c r="K87" s="36"/>
      <c r="L87" s="36"/>
      <c r="M87" s="36"/>
      <c r="N87" s="36"/>
      <c r="O87" s="112"/>
      <c r="P87" s="112"/>
      <c r="Q87" s="112"/>
      <c r="R87" s="112"/>
      <c r="S87" s="112"/>
      <c r="T87" s="112"/>
      <c r="U87" s="112"/>
      <c r="V87" s="112"/>
      <c r="W87" s="112"/>
      <c r="X87" s="112"/>
      <c r="Y87" s="112"/>
      <c r="Z87" s="112"/>
      <c r="AA87" s="112"/>
      <c r="AB87" s="112"/>
    </row>
    <row r="88" spans="1:28" ht="14.25" customHeight="1" x14ac:dyDescent="0.2">
      <c r="A88" s="36"/>
      <c r="B88" s="36"/>
      <c r="C88" s="36"/>
      <c r="D88" s="36"/>
      <c r="E88" s="36"/>
      <c r="F88" s="36"/>
      <c r="G88" s="36"/>
      <c r="H88" s="36"/>
      <c r="I88" s="36"/>
      <c r="J88" s="36"/>
      <c r="K88" s="36"/>
      <c r="L88" s="36"/>
      <c r="M88" s="36"/>
      <c r="N88" s="36"/>
      <c r="O88" s="112"/>
      <c r="P88" s="112"/>
      <c r="Q88" s="112"/>
      <c r="R88" s="112"/>
      <c r="S88" s="112"/>
      <c r="T88" s="112"/>
      <c r="U88" s="112"/>
      <c r="V88" s="112"/>
      <c r="W88" s="112"/>
      <c r="X88" s="112"/>
      <c r="Y88" s="112"/>
      <c r="Z88" s="112"/>
      <c r="AA88" s="112"/>
      <c r="AB88" s="112"/>
    </row>
    <row r="89" spans="1:28" ht="14.25" customHeight="1" x14ac:dyDescent="0.2">
      <c r="A89" s="36"/>
      <c r="B89" s="36"/>
      <c r="C89" s="36"/>
      <c r="D89" s="36"/>
      <c r="E89" s="36"/>
      <c r="F89" s="36"/>
      <c r="G89" s="36"/>
      <c r="H89" s="36"/>
      <c r="I89" s="36"/>
      <c r="J89" s="36"/>
      <c r="K89" s="36"/>
      <c r="L89" s="36"/>
      <c r="M89" s="36"/>
      <c r="N89" s="36"/>
      <c r="O89" s="112"/>
      <c r="P89" s="112"/>
      <c r="Q89" s="112"/>
      <c r="R89" s="112"/>
      <c r="S89" s="112"/>
      <c r="T89" s="112"/>
      <c r="U89" s="112"/>
      <c r="V89" s="112"/>
      <c r="W89" s="112"/>
      <c r="X89" s="112"/>
      <c r="Y89" s="112"/>
      <c r="Z89" s="112"/>
      <c r="AA89" s="112"/>
      <c r="AB89" s="112"/>
    </row>
    <row r="90" spans="1:28" ht="14.25" customHeight="1" x14ac:dyDescent="0.2">
      <c r="A90" s="36"/>
      <c r="B90" s="36"/>
      <c r="C90" s="36"/>
      <c r="D90" s="36"/>
      <c r="E90" s="36"/>
      <c r="F90" s="36"/>
      <c r="G90" s="36"/>
      <c r="H90" s="36"/>
      <c r="I90" s="36"/>
      <c r="J90" s="36"/>
      <c r="K90" s="36"/>
      <c r="L90" s="36"/>
      <c r="M90" s="36"/>
      <c r="N90" s="36"/>
      <c r="O90" s="112"/>
      <c r="P90" s="112"/>
      <c r="Q90" s="112"/>
      <c r="R90" s="112"/>
      <c r="S90" s="112"/>
      <c r="T90" s="112"/>
      <c r="U90" s="112"/>
      <c r="V90" s="112"/>
      <c r="W90" s="112"/>
      <c r="X90" s="112"/>
      <c r="Y90" s="112"/>
      <c r="Z90" s="112"/>
      <c r="AA90" s="112"/>
      <c r="AB90" s="112"/>
    </row>
    <row r="91" spans="1:28" ht="14.25" customHeight="1" x14ac:dyDescent="0.2">
      <c r="A91" s="36"/>
      <c r="B91" s="36"/>
      <c r="C91" s="36"/>
      <c r="D91" s="36"/>
      <c r="E91" s="36"/>
      <c r="F91" s="36"/>
      <c r="G91" s="36"/>
      <c r="H91" s="36"/>
      <c r="I91" s="36"/>
      <c r="J91" s="36"/>
      <c r="K91" s="36"/>
      <c r="L91" s="36"/>
      <c r="M91" s="36"/>
      <c r="N91" s="36"/>
      <c r="O91" s="112"/>
      <c r="P91" s="112"/>
      <c r="Q91" s="112"/>
      <c r="R91" s="112"/>
      <c r="S91" s="112"/>
      <c r="T91" s="112"/>
      <c r="U91" s="112"/>
      <c r="V91" s="112"/>
      <c r="W91" s="112"/>
      <c r="X91" s="112"/>
      <c r="Y91" s="112"/>
      <c r="Z91" s="112"/>
      <c r="AA91" s="112"/>
      <c r="AB91" s="112"/>
    </row>
    <row r="92" spans="1:28" ht="14.25" customHeight="1" x14ac:dyDescent="0.2">
      <c r="A92" s="36"/>
      <c r="B92" s="36"/>
      <c r="C92" s="36"/>
      <c r="D92" s="36"/>
      <c r="E92" s="36"/>
      <c r="F92" s="36"/>
      <c r="G92" s="36"/>
      <c r="H92" s="36"/>
      <c r="I92" s="36"/>
      <c r="J92" s="36"/>
      <c r="K92" s="36"/>
      <c r="L92" s="36"/>
      <c r="M92" s="36"/>
      <c r="N92" s="36"/>
      <c r="P92" s="50"/>
      <c r="Q92" s="50"/>
      <c r="R92" s="50"/>
      <c r="S92" s="50"/>
      <c r="T92" s="50"/>
      <c r="U92" s="50"/>
      <c r="V92" s="50"/>
      <c r="W92" s="50"/>
      <c r="X92" s="50"/>
      <c r="Y92" s="50"/>
      <c r="Z92" s="50"/>
      <c r="AA92" s="50"/>
      <c r="AB92" s="50"/>
    </row>
    <row r="93" spans="1:28" ht="14.25" customHeight="1" x14ac:dyDescent="0.2">
      <c r="A93" s="36"/>
      <c r="B93" s="36"/>
      <c r="C93" s="36"/>
      <c r="D93" s="36"/>
      <c r="E93" s="36"/>
      <c r="F93" s="36"/>
      <c r="G93" s="36"/>
      <c r="H93" s="36"/>
      <c r="I93" s="36"/>
      <c r="J93" s="36"/>
      <c r="K93" s="36"/>
      <c r="L93" s="36"/>
      <c r="M93" s="36"/>
      <c r="N93" s="36"/>
      <c r="O93" s="51"/>
      <c r="P93" s="51"/>
      <c r="Q93" s="51"/>
      <c r="R93" s="51"/>
      <c r="S93" s="51"/>
      <c r="T93" s="51"/>
      <c r="U93" s="51"/>
      <c r="V93" s="51"/>
      <c r="W93" s="51"/>
      <c r="X93" s="51"/>
      <c r="Y93" s="51"/>
      <c r="Z93" s="51"/>
      <c r="AA93" s="51"/>
      <c r="AB93" s="50"/>
    </row>
    <row r="94" spans="1:28" ht="14.25" customHeight="1" x14ac:dyDescent="0.2">
      <c r="A94" s="36"/>
      <c r="B94" s="36"/>
      <c r="C94" s="36"/>
      <c r="D94" s="36"/>
      <c r="E94" s="36"/>
      <c r="F94" s="36"/>
      <c r="G94" s="36"/>
      <c r="H94" s="36"/>
      <c r="I94" s="36"/>
      <c r="J94" s="36"/>
      <c r="K94" s="36"/>
      <c r="L94" s="36"/>
      <c r="M94" s="36"/>
      <c r="N94" s="36"/>
      <c r="O94" s="51"/>
      <c r="P94" s="51"/>
      <c r="Q94" s="51"/>
      <c r="R94" s="51"/>
      <c r="S94" s="51"/>
      <c r="T94" s="51"/>
      <c r="U94" s="51"/>
      <c r="V94" s="51"/>
      <c r="W94" s="51"/>
      <c r="X94" s="51"/>
      <c r="Y94" s="51"/>
      <c r="Z94" s="51"/>
      <c r="AA94" s="51"/>
      <c r="AB94" s="50"/>
    </row>
    <row r="95" spans="1:28" ht="14.25" customHeight="1" x14ac:dyDescent="0.2">
      <c r="A95" s="36"/>
      <c r="B95" s="36"/>
      <c r="C95" s="36"/>
      <c r="D95" s="36"/>
      <c r="E95" s="36"/>
      <c r="F95" s="36"/>
      <c r="G95" s="36"/>
      <c r="H95" s="36"/>
      <c r="I95" s="36"/>
      <c r="J95" s="36"/>
      <c r="K95" s="36"/>
      <c r="L95" s="36"/>
      <c r="M95" s="36"/>
      <c r="N95" s="36"/>
      <c r="O95" s="51"/>
      <c r="P95" s="51"/>
      <c r="Q95" s="51"/>
      <c r="R95" s="51"/>
      <c r="S95" s="51"/>
      <c r="T95" s="51"/>
      <c r="U95" s="51"/>
      <c r="V95" s="51"/>
      <c r="W95" s="51"/>
      <c r="X95" s="51"/>
      <c r="Y95" s="51"/>
      <c r="Z95" s="51"/>
      <c r="AA95" s="51"/>
      <c r="AB95" s="50"/>
    </row>
    <row r="96" spans="1:28" ht="14.25" customHeight="1" x14ac:dyDescent="0.2">
      <c r="A96" s="36"/>
      <c r="B96" s="36"/>
      <c r="C96" s="36"/>
      <c r="D96" s="36"/>
      <c r="E96" s="36"/>
      <c r="F96" s="36"/>
      <c r="G96" s="36"/>
      <c r="H96" s="36"/>
      <c r="I96" s="36"/>
      <c r="J96" s="36"/>
      <c r="K96" s="36"/>
      <c r="L96" s="36"/>
      <c r="M96" s="36"/>
      <c r="N96" s="36"/>
      <c r="P96" s="50"/>
      <c r="Q96" s="50"/>
      <c r="R96" s="50"/>
      <c r="S96" s="50"/>
      <c r="T96" s="50"/>
      <c r="U96" s="50"/>
      <c r="V96" s="50"/>
      <c r="W96" s="50"/>
      <c r="X96" s="50"/>
      <c r="Y96" s="50"/>
      <c r="Z96" s="50"/>
      <c r="AA96" s="50"/>
      <c r="AB96" s="50"/>
    </row>
    <row r="97" spans="1:28" ht="14.25" customHeight="1" x14ac:dyDescent="0.2">
      <c r="A97" s="36"/>
      <c r="B97" s="36"/>
      <c r="C97" s="36"/>
      <c r="D97" s="36"/>
      <c r="E97" s="36"/>
      <c r="F97" s="36"/>
      <c r="G97" s="36"/>
      <c r="H97" s="36"/>
      <c r="I97" s="36"/>
      <c r="J97" s="36"/>
      <c r="K97" s="36"/>
      <c r="L97" s="36"/>
      <c r="M97" s="36"/>
      <c r="N97" s="36"/>
      <c r="P97" s="111" t="str">
        <f>VLOOKUP(310,TableLanguage,IndexLanguage,FALSE)</f>
        <v>Fill in responsible person and contact data;
Send to the contact person the signed EN version of the material sheet in PDF format and this completed excel file.</v>
      </c>
      <c r="Q97" s="111"/>
      <c r="R97" s="111"/>
      <c r="S97" s="111"/>
      <c r="T97" s="111"/>
      <c r="U97" s="111"/>
      <c r="V97" s="111"/>
      <c r="W97" s="111"/>
      <c r="X97" s="111"/>
      <c r="Y97" s="111"/>
      <c r="Z97" s="111"/>
      <c r="AA97" s="111"/>
      <c r="AB97" s="111"/>
    </row>
    <row r="98" spans="1:28" ht="14.25" customHeight="1" x14ac:dyDescent="0.2">
      <c r="A98" s="36"/>
      <c r="B98" s="36"/>
      <c r="C98" s="36"/>
      <c r="D98" s="36"/>
      <c r="E98" s="36"/>
      <c r="F98" s="36"/>
      <c r="G98" s="36"/>
      <c r="H98" s="36"/>
      <c r="I98" s="36"/>
      <c r="J98" s="36"/>
      <c r="K98" s="36"/>
      <c r="L98" s="36"/>
      <c r="M98" s="36"/>
      <c r="N98" s="36"/>
      <c r="P98" s="111"/>
      <c r="Q98" s="111"/>
      <c r="R98" s="111"/>
      <c r="S98" s="111"/>
      <c r="T98" s="111"/>
      <c r="U98" s="111"/>
      <c r="V98" s="111"/>
      <c r="W98" s="111"/>
      <c r="X98" s="111"/>
      <c r="Y98" s="111"/>
      <c r="Z98" s="111"/>
      <c r="AA98" s="111"/>
      <c r="AB98" s="111"/>
    </row>
    <row r="99" spans="1:28" ht="14.25" customHeight="1" x14ac:dyDescent="0.2">
      <c r="A99" s="35"/>
      <c r="B99" s="35"/>
      <c r="C99" s="35"/>
      <c r="D99" s="35"/>
      <c r="E99" s="35"/>
      <c r="F99" s="35"/>
      <c r="G99" s="35"/>
      <c r="H99" s="35"/>
      <c r="I99" s="35"/>
      <c r="J99" s="35"/>
      <c r="K99" s="35"/>
      <c r="L99" s="35"/>
      <c r="M99" s="35"/>
      <c r="N99" s="35"/>
      <c r="P99" s="111"/>
      <c r="Q99" s="111"/>
      <c r="R99" s="111"/>
      <c r="S99" s="111"/>
      <c r="T99" s="111"/>
      <c r="U99" s="111"/>
      <c r="V99" s="111"/>
      <c r="W99" s="111"/>
      <c r="X99" s="111"/>
      <c r="Y99" s="111"/>
      <c r="Z99" s="111"/>
      <c r="AA99" s="111"/>
      <c r="AB99" s="111"/>
    </row>
    <row r="100" spans="1:28" s="21" customFormat="1" ht="14.25" customHeight="1" x14ac:dyDescent="0.2">
      <c r="A100" s="141" t="str">
        <f>VLOOKUP(150,TableLanguage,IndexLanguage,FALSE)</f>
        <v>Date:</v>
      </c>
      <c r="B100" s="141"/>
      <c r="C100" s="141"/>
      <c r="D100" s="140"/>
      <c r="E100" s="140"/>
      <c r="F100" s="140"/>
      <c r="G100" s="140"/>
      <c r="H100" s="141" t="str">
        <f>VLOOKUP(154,TableLanguage,IndexLanguage,FALSE)</f>
        <v>Signature:</v>
      </c>
      <c r="I100" s="141"/>
      <c r="J100" s="141"/>
      <c r="K100" s="146"/>
      <c r="L100" s="146"/>
      <c r="M100" s="146"/>
      <c r="N100" s="146"/>
      <c r="P100" s="111"/>
      <c r="Q100" s="111"/>
      <c r="R100" s="111"/>
      <c r="S100" s="111"/>
      <c r="T100" s="111"/>
      <c r="U100" s="111"/>
      <c r="V100" s="111"/>
      <c r="W100" s="111"/>
      <c r="X100" s="111"/>
      <c r="Y100" s="111"/>
      <c r="Z100" s="111"/>
      <c r="AA100" s="111"/>
      <c r="AB100" s="111"/>
    </row>
    <row r="101" spans="1:28" s="21" customFormat="1" ht="14.25" customHeight="1" x14ac:dyDescent="0.2">
      <c r="A101" s="141" t="str">
        <f>VLOOKUP(151,TableLanguage,IndexLanguage,FALSE)</f>
        <v>Responsible person:</v>
      </c>
      <c r="B101" s="141"/>
      <c r="C101" s="141"/>
      <c r="D101" s="146"/>
      <c r="E101" s="146"/>
      <c r="F101" s="146"/>
      <c r="G101" s="146"/>
      <c r="H101" s="141"/>
      <c r="I101" s="141"/>
      <c r="J101" s="141"/>
      <c r="K101" s="146"/>
      <c r="L101" s="146"/>
      <c r="M101" s="146"/>
      <c r="N101" s="146"/>
      <c r="P101" s="111"/>
      <c r="Q101" s="111"/>
      <c r="R101" s="111"/>
      <c r="S101" s="111"/>
      <c r="T101" s="111"/>
      <c r="U101" s="111"/>
      <c r="V101" s="111"/>
      <c r="W101" s="111"/>
      <c r="X101" s="111"/>
      <c r="Y101" s="111"/>
      <c r="Z101" s="111"/>
      <c r="AA101" s="111"/>
      <c r="AB101" s="111"/>
    </row>
    <row r="102" spans="1:28" s="21" customFormat="1" ht="14.25" customHeight="1" x14ac:dyDescent="0.2">
      <c r="A102" s="141" t="str">
        <f>VLOOKUP(152,TableLanguage,IndexLanguage,FALSE)</f>
        <v>E-mail:</v>
      </c>
      <c r="B102" s="141"/>
      <c r="C102" s="141"/>
      <c r="D102" s="146"/>
      <c r="E102" s="146"/>
      <c r="F102" s="146"/>
      <c r="G102" s="146"/>
      <c r="H102" s="141"/>
      <c r="I102" s="141"/>
      <c r="J102" s="141"/>
      <c r="K102" s="146"/>
      <c r="L102" s="146"/>
      <c r="M102" s="146"/>
      <c r="N102" s="146"/>
      <c r="P102" s="112" t="str">
        <f>VLOOKUP(311,TableLanguage,IndexLanguage,FALSE)</f>
        <v>By submitting this document, the Supplier confirms the validity of the filled data and meeting the above mentioned conditions.</v>
      </c>
      <c r="Q102" s="112"/>
      <c r="R102" s="112"/>
      <c r="S102" s="112"/>
      <c r="T102" s="112"/>
      <c r="U102" s="112"/>
      <c r="V102" s="112"/>
      <c r="W102" s="112"/>
      <c r="X102" s="112"/>
      <c r="Y102" s="112"/>
      <c r="Z102" s="112"/>
      <c r="AA102" s="112"/>
      <c r="AB102" s="112"/>
    </row>
    <row r="103" spans="1:28" s="21" customFormat="1" ht="14.25" customHeight="1" x14ac:dyDescent="0.2">
      <c r="A103" s="141" t="str">
        <f>VLOOKUP(153,TableLanguage,IndexLanguage,FALSE)</f>
        <v>Phone:</v>
      </c>
      <c r="B103" s="141"/>
      <c r="C103" s="141"/>
      <c r="D103" s="146"/>
      <c r="E103" s="146"/>
      <c r="F103" s="146"/>
      <c r="G103" s="146"/>
      <c r="H103" s="141"/>
      <c r="I103" s="141"/>
      <c r="J103" s="141"/>
      <c r="K103" s="146"/>
      <c r="L103" s="146"/>
      <c r="M103" s="146"/>
      <c r="N103" s="146"/>
      <c r="P103" s="112"/>
      <c r="Q103" s="112"/>
      <c r="R103" s="112"/>
      <c r="S103" s="112"/>
      <c r="T103" s="112"/>
      <c r="U103" s="112"/>
      <c r="V103" s="112"/>
      <c r="W103" s="112"/>
      <c r="X103" s="112"/>
      <c r="Y103" s="112"/>
      <c r="Z103" s="112"/>
      <c r="AA103" s="112"/>
      <c r="AB103" s="112"/>
    </row>
  </sheetData>
  <sheetProtection algorithmName="SHA-512" hashValue="r2Ii0i6DcluUZDQSQQ8xdTiwFigMDdQJPrYj2j1VIuksmj4tU7+vqpNbRlye+R/0h/ohO/etMQpanICgq6kKhg==" saltValue="UgjwdZinMRQ7r8hYWP15/Q==" spinCount="100000" sheet="1" objects="1" scenarios="1"/>
  <mergeCells count="206">
    <mergeCell ref="R15:U15"/>
    <mergeCell ref="A8:E8"/>
    <mergeCell ref="F10:G10"/>
    <mergeCell ref="F45:L45"/>
    <mergeCell ref="F36:L36"/>
    <mergeCell ref="F37:L37"/>
    <mergeCell ref="P62:AB67"/>
    <mergeCell ref="P68:AB73"/>
    <mergeCell ref="O55:O56"/>
    <mergeCell ref="P55:AB59"/>
    <mergeCell ref="A9:E9"/>
    <mergeCell ref="A10:E10"/>
    <mergeCell ref="F9:N9"/>
    <mergeCell ref="Z28:AB28"/>
    <mergeCell ref="P8:AB11"/>
    <mergeCell ref="P12:AB13"/>
    <mergeCell ref="P22:AB23"/>
    <mergeCell ref="V16:Y21"/>
    <mergeCell ref="Z16:AB21"/>
    <mergeCell ref="R16:U21"/>
    <mergeCell ref="P16:Q21"/>
    <mergeCell ref="R28:Y28"/>
    <mergeCell ref="O8:O9"/>
    <mergeCell ref="O12:O13"/>
    <mergeCell ref="O14:O22"/>
    <mergeCell ref="I2:M2"/>
    <mergeCell ref="F22:L22"/>
    <mergeCell ref="M13:N13"/>
    <mergeCell ref="F13:L13"/>
    <mergeCell ref="A12:N12"/>
    <mergeCell ref="A6:N6"/>
    <mergeCell ref="D2:E2"/>
    <mergeCell ref="A2:C2"/>
    <mergeCell ref="A4:N4"/>
    <mergeCell ref="B14:C22"/>
    <mergeCell ref="F17:L17"/>
    <mergeCell ref="F18:L18"/>
    <mergeCell ref="F19:L19"/>
    <mergeCell ref="F14:L14"/>
    <mergeCell ref="F15:L15"/>
    <mergeCell ref="F16:L16"/>
    <mergeCell ref="F20:L20"/>
    <mergeCell ref="F8:N8"/>
    <mergeCell ref="D13:E13"/>
    <mergeCell ref="D14:D22"/>
    <mergeCell ref="E14:E22"/>
    <mergeCell ref="B13:C13"/>
    <mergeCell ref="F21:L21"/>
    <mergeCell ref="I10:M10"/>
    <mergeCell ref="A66:N66"/>
    <mergeCell ref="B67:F67"/>
    <mergeCell ref="V15:Y15"/>
    <mergeCell ref="Z15:AB15"/>
    <mergeCell ref="P14:Q15"/>
    <mergeCell ref="R14:AB14"/>
    <mergeCell ref="R27:U27"/>
    <mergeCell ref="V27:Y27"/>
    <mergeCell ref="Z27:AB27"/>
    <mergeCell ref="A62:E62"/>
    <mergeCell ref="F32:L32"/>
    <mergeCell ref="F33:L33"/>
    <mergeCell ref="A58:E58"/>
    <mergeCell ref="H58:L58"/>
    <mergeCell ref="A59:E59"/>
    <mergeCell ref="H62:L62"/>
    <mergeCell ref="B31:C32"/>
    <mergeCell ref="B33:C35"/>
    <mergeCell ref="F28:L28"/>
    <mergeCell ref="F34:L34"/>
    <mergeCell ref="F35:L35"/>
    <mergeCell ref="F23:L23"/>
    <mergeCell ref="F29:L29"/>
    <mergeCell ref="F26:L26"/>
    <mergeCell ref="A60:E60"/>
    <mergeCell ref="H60:L60"/>
    <mergeCell ref="H59:L59"/>
    <mergeCell ref="F44:L44"/>
    <mergeCell ref="D23:D28"/>
    <mergeCell ref="B23:C28"/>
    <mergeCell ref="E23:E28"/>
    <mergeCell ref="F24:L24"/>
    <mergeCell ref="F25:L25"/>
    <mergeCell ref="A55:N55"/>
    <mergeCell ref="A56:E56"/>
    <mergeCell ref="F56:G56"/>
    <mergeCell ref="H56:L56"/>
    <mergeCell ref="D33:D35"/>
    <mergeCell ref="E33:E35"/>
    <mergeCell ref="D31:D32"/>
    <mergeCell ref="E31:E32"/>
    <mergeCell ref="F31:L31"/>
    <mergeCell ref="F40:L40"/>
    <mergeCell ref="F41:L41"/>
    <mergeCell ref="F42:L42"/>
    <mergeCell ref="F27:L27"/>
    <mergeCell ref="E29:E30"/>
    <mergeCell ref="G67:J67"/>
    <mergeCell ref="K67:L67"/>
    <mergeCell ref="B68:F68"/>
    <mergeCell ref="G68:J68"/>
    <mergeCell ref="K68:L68"/>
    <mergeCell ref="B69:F69"/>
    <mergeCell ref="G69:J69"/>
    <mergeCell ref="K69:L69"/>
    <mergeCell ref="D101:G101"/>
    <mergeCell ref="G71:J71"/>
    <mergeCell ref="K71:L71"/>
    <mergeCell ref="B71:F71"/>
    <mergeCell ref="D102:G102"/>
    <mergeCell ref="H100:J103"/>
    <mergeCell ref="K100:N103"/>
    <mergeCell ref="D103:G103"/>
    <mergeCell ref="A102:C102"/>
    <mergeCell ref="A100:C100"/>
    <mergeCell ref="A103:C103"/>
    <mergeCell ref="B73:F73"/>
    <mergeCell ref="G73:J73"/>
    <mergeCell ref="K73:L73"/>
    <mergeCell ref="M67:N67"/>
    <mergeCell ref="B70:F70"/>
    <mergeCell ref="G70:J70"/>
    <mergeCell ref="P102:AB103"/>
    <mergeCell ref="Z29:AB29"/>
    <mergeCell ref="A80:N80"/>
    <mergeCell ref="A81:N82"/>
    <mergeCell ref="K78:L78"/>
    <mergeCell ref="A78:J78"/>
    <mergeCell ref="M56:N56"/>
    <mergeCell ref="A57:E57"/>
    <mergeCell ref="B36:C36"/>
    <mergeCell ref="B37:C45"/>
    <mergeCell ref="H57:L57"/>
    <mergeCell ref="A61:E61"/>
    <mergeCell ref="H61:L61"/>
    <mergeCell ref="D37:D45"/>
    <mergeCell ref="E37:E45"/>
    <mergeCell ref="K70:L70"/>
    <mergeCell ref="F43:L43"/>
    <mergeCell ref="D100:G100"/>
    <mergeCell ref="A101:C101"/>
    <mergeCell ref="B29:C30"/>
    <mergeCell ref="D29:D30"/>
    <mergeCell ref="P26:Q27"/>
    <mergeCell ref="R26:AB26"/>
    <mergeCell ref="P28:Q29"/>
    <mergeCell ref="R29:Y29"/>
    <mergeCell ref="P97:AB101"/>
    <mergeCell ref="O80:AB91"/>
    <mergeCell ref="P2:AB2"/>
    <mergeCell ref="O3:AB6"/>
    <mergeCell ref="B76:F76"/>
    <mergeCell ref="G76:J76"/>
    <mergeCell ref="K76:L76"/>
    <mergeCell ref="B77:F77"/>
    <mergeCell ref="G77:J77"/>
    <mergeCell ref="K77:L77"/>
    <mergeCell ref="B74:F74"/>
    <mergeCell ref="G74:J74"/>
    <mergeCell ref="K74:L74"/>
    <mergeCell ref="A63:N63"/>
    <mergeCell ref="B75:F75"/>
    <mergeCell ref="G75:J75"/>
    <mergeCell ref="K75:L75"/>
    <mergeCell ref="B72:F72"/>
    <mergeCell ref="G72:J72"/>
    <mergeCell ref="K72:L72"/>
    <mergeCell ref="F30:L30"/>
    <mergeCell ref="P30:Q39"/>
    <mergeCell ref="R30:U30"/>
    <mergeCell ref="V30:Y30"/>
    <mergeCell ref="Z30:AB30"/>
    <mergeCell ref="R31:U31"/>
    <mergeCell ref="V31:Y31"/>
    <mergeCell ref="Z31:AB31"/>
    <mergeCell ref="R32:U32"/>
    <mergeCell ref="V32:Y32"/>
    <mergeCell ref="Z32:AB32"/>
    <mergeCell ref="R33:U33"/>
    <mergeCell ref="V33:Y33"/>
    <mergeCell ref="R34:U34"/>
    <mergeCell ref="V34:Y34"/>
    <mergeCell ref="R35:U35"/>
    <mergeCell ref="V35:Y35"/>
    <mergeCell ref="Z35:AB35"/>
    <mergeCell ref="R36:U36"/>
    <mergeCell ref="F38:L38"/>
    <mergeCell ref="F39:L39"/>
    <mergeCell ref="P40:AB41"/>
    <mergeCell ref="P44:Q44"/>
    <mergeCell ref="R44:AB44"/>
    <mergeCell ref="P45:Q46"/>
    <mergeCell ref="R45:AB46"/>
    <mergeCell ref="A47:N47"/>
    <mergeCell ref="Z33:AB34"/>
    <mergeCell ref="V36:Y36"/>
    <mergeCell ref="Z36:AB36"/>
    <mergeCell ref="R37:U37"/>
    <mergeCell ref="V37:Y37"/>
    <mergeCell ref="Z37:AB37"/>
    <mergeCell ref="R38:U38"/>
    <mergeCell ref="V38:Y38"/>
    <mergeCell ref="Z38:AB38"/>
    <mergeCell ref="R39:U39"/>
    <mergeCell ref="V39:Y39"/>
    <mergeCell ref="Z39:AB39"/>
    <mergeCell ref="K46:L46"/>
  </mergeCells>
  <dataValidations count="4">
    <dataValidation type="list" allowBlank="1" showInputMessage="1" showErrorMessage="1" sqref="A68:A77" xr:uid="{00000000-0002-0000-0000-000000000000}">
      <formula1>CAT_TAB</formula1>
    </dataValidation>
    <dataValidation type="list" allowBlank="1" showInputMessage="1" showErrorMessage="1" sqref="N2" xr:uid="{00000000-0002-0000-0000-000001000000}">
      <formula1>Language</formula1>
    </dataValidation>
    <dataValidation type="list" allowBlank="1" showInputMessage="1" showErrorMessage="1" sqref="N10" xr:uid="{00000000-0002-0000-0000-000002000000}">
      <formula1>UNITS</formula1>
    </dataValidation>
    <dataValidation type="list" allowBlank="1" showInputMessage="1" showErrorMessage="1" sqref="H10" xr:uid="{00000000-0002-0000-0000-000003000000}">
      <formula1>UNITS_2</formula1>
    </dataValidation>
  </dataValidations>
  <pageMargins left="0.7" right="0.7" top="0.75" bottom="0.75" header="0.3" footer="0.3"/>
  <pageSetup paperSize="9" fitToWidth="0" orientation="portrait" r:id="rId1"/>
  <headerFooter>
    <oddHeader>&amp;L&amp;G</oddHeader>
    <oddFooter>&amp;L&amp;"Arial,Obyčejné"&amp;K003F7ETD039253 .a&amp;C&amp;"Arial,Obyčejné"&amp;K003F7EŠKODA TRANSPORTATION a.s.&amp;R&amp;"Arial,Obyčejné"&amp;K003F7E&amp;P/&amp;N</oddFooter>
  </headerFooter>
  <rowBreaks count="1" manualBreakCount="1">
    <brk id="53" max="16383" man="1"/>
  </rowBreaks>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789BA470-68D3-45B3-A4EA-2DA9D5A50A4E}">
            <xm:f>AUXILIARY!$G$3</xm:f>
            <x14:dxf>
              <fill>
                <patternFill>
                  <bgColor theme="5" tint="0.59996337778862885"/>
                </patternFill>
              </fill>
            </x14:dxf>
          </x14:cfRule>
          <xm:sqref>M46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2:G172"/>
  <sheetViews>
    <sheetView zoomScaleNormal="100" workbookViewId="0">
      <selection activeCell="E17" sqref="E17"/>
    </sheetView>
  </sheetViews>
  <sheetFormatPr defaultColWidth="9.140625" defaultRowHeight="12" x14ac:dyDescent="0.2"/>
  <cols>
    <col min="1" max="1" width="3.7109375" style="9" customWidth="1"/>
    <col min="2" max="2" width="9.140625" style="10"/>
    <col min="3" max="4" width="48.5703125" style="2" customWidth="1"/>
    <col min="5" max="5" width="48.5703125" style="8" customWidth="1"/>
    <col min="6" max="6" width="48.5703125" style="9" customWidth="1"/>
    <col min="7" max="7" width="9.140625" style="9"/>
    <col min="8" max="8" width="11.85546875" style="9" bestFit="1" customWidth="1"/>
    <col min="9" max="16384" width="9.140625" style="9"/>
  </cols>
  <sheetData>
    <row r="2" spans="2:6" x14ac:dyDescent="0.2">
      <c r="B2" s="12" t="s">
        <v>68</v>
      </c>
      <c r="C2" s="12"/>
      <c r="D2" s="12">
        <f>MATCH(NameLanguage,TitleLanguage,0)</f>
        <v>3</v>
      </c>
    </row>
    <row r="4" spans="2:6" x14ac:dyDescent="0.2">
      <c r="B4" s="11" t="s">
        <v>41</v>
      </c>
      <c r="C4" s="12" t="s">
        <v>64</v>
      </c>
      <c r="D4" s="12" t="s">
        <v>65</v>
      </c>
      <c r="E4" s="13" t="s">
        <v>66</v>
      </c>
      <c r="F4" s="14"/>
    </row>
    <row r="5" spans="2:6" x14ac:dyDescent="0.2">
      <c r="B5" s="11">
        <v>50</v>
      </c>
      <c r="C5" s="12" t="s">
        <v>70</v>
      </c>
      <c r="D5" s="12" t="s">
        <v>43</v>
      </c>
      <c r="E5" s="15" t="s">
        <v>195</v>
      </c>
      <c r="F5" s="16"/>
    </row>
    <row r="6" spans="2:6" ht="24" x14ac:dyDescent="0.2">
      <c r="B6" s="11">
        <v>51</v>
      </c>
      <c r="C6" s="12" t="s">
        <v>160</v>
      </c>
      <c r="D6" s="12" t="s">
        <v>159</v>
      </c>
      <c r="E6" s="15" t="s">
        <v>196</v>
      </c>
      <c r="F6" s="16"/>
    </row>
    <row r="7" spans="2:6" x14ac:dyDescent="0.2">
      <c r="B7" s="11">
        <v>52</v>
      </c>
      <c r="C7" s="12" t="s">
        <v>71</v>
      </c>
      <c r="D7" s="12" t="s">
        <v>154</v>
      </c>
      <c r="E7" s="15" t="s">
        <v>197</v>
      </c>
      <c r="F7" s="16"/>
    </row>
    <row r="8" spans="2:6" x14ac:dyDescent="0.2">
      <c r="B8" s="11">
        <v>53</v>
      </c>
      <c r="C8" s="12" t="s">
        <v>72</v>
      </c>
      <c r="D8" s="12" t="s">
        <v>73</v>
      </c>
      <c r="E8" s="15" t="s">
        <v>198</v>
      </c>
      <c r="F8" s="16"/>
    </row>
    <row r="9" spans="2:6" x14ac:dyDescent="0.2">
      <c r="B9" s="11">
        <v>54</v>
      </c>
      <c r="C9" s="12" t="s">
        <v>74</v>
      </c>
      <c r="D9" s="12" t="s">
        <v>75</v>
      </c>
      <c r="E9" s="15" t="s">
        <v>199</v>
      </c>
      <c r="F9" s="16"/>
    </row>
    <row r="10" spans="2:6" x14ac:dyDescent="0.2">
      <c r="B10" s="11">
        <v>55</v>
      </c>
      <c r="C10" s="12" t="s">
        <v>76</v>
      </c>
      <c r="D10" s="12" t="s">
        <v>80</v>
      </c>
      <c r="E10" s="15" t="s">
        <v>200</v>
      </c>
      <c r="F10" s="16"/>
    </row>
    <row r="11" spans="2:6" x14ac:dyDescent="0.2">
      <c r="B11" s="11">
        <v>56</v>
      </c>
      <c r="C11" s="12" t="s">
        <v>5</v>
      </c>
      <c r="D11" s="12" t="s">
        <v>8</v>
      </c>
      <c r="E11" s="15" t="s">
        <v>201</v>
      </c>
      <c r="F11" s="16"/>
    </row>
    <row r="12" spans="2:6" x14ac:dyDescent="0.2">
      <c r="B12" s="11">
        <v>57</v>
      </c>
      <c r="C12" s="12" t="s">
        <v>77</v>
      </c>
      <c r="D12" s="12" t="s">
        <v>78</v>
      </c>
      <c r="E12" s="15" t="s">
        <v>202</v>
      </c>
      <c r="F12" s="16"/>
    </row>
    <row r="13" spans="2:6" x14ac:dyDescent="0.2">
      <c r="B13" s="11">
        <v>58</v>
      </c>
      <c r="C13" s="12" t="s">
        <v>6</v>
      </c>
      <c r="D13" s="12" t="s">
        <v>79</v>
      </c>
      <c r="E13" s="15" t="s">
        <v>79</v>
      </c>
      <c r="F13" s="16"/>
    </row>
    <row r="14" spans="2:6" x14ac:dyDescent="0.2">
      <c r="B14" s="11">
        <v>59</v>
      </c>
      <c r="C14" s="12" t="s">
        <v>147</v>
      </c>
      <c r="D14" s="12" t="s">
        <v>146</v>
      </c>
      <c r="E14" s="15" t="s">
        <v>147</v>
      </c>
      <c r="F14" s="16"/>
    </row>
    <row r="15" spans="2:6" x14ac:dyDescent="0.2">
      <c r="B15" s="11">
        <v>60</v>
      </c>
      <c r="C15" s="12" t="s">
        <v>142</v>
      </c>
      <c r="D15" s="12" t="s">
        <v>143</v>
      </c>
      <c r="E15" s="15" t="s">
        <v>203</v>
      </c>
      <c r="F15" s="16"/>
    </row>
    <row r="16" spans="2:6" ht="24" x14ac:dyDescent="0.2">
      <c r="B16" s="11">
        <v>61</v>
      </c>
      <c r="C16" s="12" t="s">
        <v>7</v>
      </c>
      <c r="D16" s="12" t="s">
        <v>293</v>
      </c>
      <c r="E16" s="15" t="s">
        <v>204</v>
      </c>
      <c r="F16" s="16"/>
    </row>
    <row r="17" spans="2:7" x14ac:dyDescent="0.2">
      <c r="B17" s="11">
        <v>62</v>
      </c>
      <c r="C17" s="12" t="s">
        <v>415</v>
      </c>
      <c r="D17" s="12" t="s">
        <v>417</v>
      </c>
      <c r="E17" s="15" t="s">
        <v>416</v>
      </c>
      <c r="F17" s="16"/>
    </row>
    <row r="18" spans="2:7" ht="36" x14ac:dyDescent="0.2">
      <c r="B18" s="11">
        <v>63</v>
      </c>
      <c r="C18" s="12" t="s">
        <v>275</v>
      </c>
      <c r="D18" s="12" t="s">
        <v>191</v>
      </c>
      <c r="E18" s="15" t="s">
        <v>278</v>
      </c>
      <c r="F18" s="16"/>
    </row>
    <row r="19" spans="2:7" ht="36" x14ac:dyDescent="0.2">
      <c r="B19" s="11">
        <v>64</v>
      </c>
      <c r="C19" s="12" t="s">
        <v>276</v>
      </c>
      <c r="D19" s="12" t="s">
        <v>192</v>
      </c>
      <c r="E19" s="15" t="s">
        <v>277</v>
      </c>
      <c r="F19" s="16"/>
    </row>
    <row r="20" spans="2:7" x14ac:dyDescent="0.2">
      <c r="B20" s="11">
        <v>65</v>
      </c>
      <c r="C20" s="12" t="s">
        <v>269</v>
      </c>
      <c r="D20" s="12" t="s">
        <v>269</v>
      </c>
      <c r="E20" s="15" t="s">
        <v>269</v>
      </c>
      <c r="F20" s="16"/>
    </row>
    <row r="21" spans="2:7" x14ac:dyDescent="0.2">
      <c r="B21" s="11">
        <v>66</v>
      </c>
      <c r="C21" s="12" t="s">
        <v>305</v>
      </c>
      <c r="D21" s="12" t="s">
        <v>306</v>
      </c>
      <c r="E21" s="15" t="s">
        <v>319</v>
      </c>
      <c r="F21" s="16"/>
    </row>
    <row r="22" spans="2:7" x14ac:dyDescent="0.2">
      <c r="B22" s="11"/>
      <c r="C22" s="12"/>
      <c r="D22" s="12"/>
      <c r="E22" s="11"/>
      <c r="F22" s="16"/>
    </row>
    <row r="23" spans="2:7" x14ac:dyDescent="0.2">
      <c r="B23" s="11">
        <v>1</v>
      </c>
      <c r="C23" s="12" t="s">
        <v>21</v>
      </c>
      <c r="D23" s="12" t="s">
        <v>10</v>
      </c>
      <c r="E23" s="15" t="s">
        <v>205</v>
      </c>
      <c r="F23" s="12"/>
      <c r="G23" s="10"/>
    </row>
    <row r="24" spans="2:7" x14ac:dyDescent="0.2">
      <c r="B24" s="11">
        <v>2</v>
      </c>
      <c r="C24" s="12" t="s">
        <v>52</v>
      </c>
      <c r="D24" s="12" t="s">
        <v>45</v>
      </c>
      <c r="E24" s="15" t="s">
        <v>206</v>
      </c>
      <c r="F24" s="11"/>
      <c r="G24" s="10"/>
    </row>
    <row r="25" spans="2:7" x14ac:dyDescent="0.2">
      <c r="B25" s="11">
        <v>3</v>
      </c>
      <c r="C25" s="12" t="s">
        <v>124</v>
      </c>
      <c r="D25" s="12" t="s">
        <v>125</v>
      </c>
      <c r="E25" s="15" t="s">
        <v>207</v>
      </c>
      <c r="F25" s="11"/>
      <c r="G25" s="10"/>
    </row>
    <row r="26" spans="2:7" x14ac:dyDescent="0.2">
      <c r="B26" s="11">
        <v>4</v>
      </c>
      <c r="C26" s="12" t="s">
        <v>51</v>
      </c>
      <c r="D26" s="12" t="s">
        <v>44</v>
      </c>
      <c r="E26" s="15" t="s">
        <v>208</v>
      </c>
      <c r="F26" s="11"/>
      <c r="G26" s="10"/>
    </row>
    <row r="27" spans="2:7" x14ac:dyDescent="0.2">
      <c r="B27" s="11">
        <v>5</v>
      </c>
      <c r="C27" s="12" t="s">
        <v>22</v>
      </c>
      <c r="D27" s="12" t="s">
        <v>11</v>
      </c>
      <c r="E27" s="15" t="s">
        <v>209</v>
      </c>
      <c r="F27" s="11"/>
      <c r="G27" s="10"/>
    </row>
    <row r="28" spans="2:7" x14ac:dyDescent="0.2">
      <c r="B28" s="11">
        <v>6</v>
      </c>
      <c r="C28" s="12" t="s">
        <v>53</v>
      </c>
      <c r="D28" s="12" t="s">
        <v>46</v>
      </c>
      <c r="E28" s="15" t="s">
        <v>210</v>
      </c>
      <c r="F28" s="11"/>
      <c r="G28" s="10"/>
    </row>
    <row r="29" spans="2:7" x14ac:dyDescent="0.2">
      <c r="B29" s="11">
        <v>7</v>
      </c>
      <c r="C29" s="12" t="s">
        <v>54</v>
      </c>
      <c r="D29" s="12" t="s">
        <v>47</v>
      </c>
      <c r="E29" s="15" t="s">
        <v>211</v>
      </c>
      <c r="F29" s="11"/>
      <c r="G29" s="10"/>
    </row>
    <row r="30" spans="2:7" x14ac:dyDescent="0.2">
      <c r="B30" s="11">
        <v>8</v>
      </c>
      <c r="C30" s="12" t="s">
        <v>55</v>
      </c>
      <c r="D30" s="12" t="s">
        <v>48</v>
      </c>
      <c r="E30" s="15" t="s">
        <v>212</v>
      </c>
      <c r="F30" s="11"/>
      <c r="G30" s="10"/>
    </row>
    <row r="31" spans="2:7" x14ac:dyDescent="0.2">
      <c r="B31" s="11">
        <v>9</v>
      </c>
      <c r="C31" s="12" t="s">
        <v>130</v>
      </c>
      <c r="D31" s="12" t="s">
        <v>131</v>
      </c>
      <c r="E31" s="15" t="s">
        <v>213</v>
      </c>
      <c r="F31" s="11"/>
      <c r="G31" s="10"/>
    </row>
    <row r="32" spans="2:7" x14ac:dyDescent="0.2">
      <c r="B32" s="11">
        <v>10</v>
      </c>
      <c r="C32" s="12" t="s">
        <v>31</v>
      </c>
      <c r="D32" s="12" t="s">
        <v>13</v>
      </c>
      <c r="E32" s="15" t="s">
        <v>214</v>
      </c>
      <c r="F32" s="12"/>
      <c r="G32" s="10"/>
    </row>
    <row r="33" spans="2:7" x14ac:dyDescent="0.2">
      <c r="B33" s="11">
        <v>11</v>
      </c>
      <c r="C33" s="12" t="s">
        <v>32</v>
      </c>
      <c r="D33" s="12" t="s">
        <v>14</v>
      </c>
      <c r="E33" s="15" t="s">
        <v>215</v>
      </c>
      <c r="F33" s="11"/>
      <c r="G33" s="10"/>
    </row>
    <row r="34" spans="2:7" x14ac:dyDescent="0.2">
      <c r="B34" s="11">
        <v>12</v>
      </c>
      <c r="C34" s="12" t="s">
        <v>122</v>
      </c>
      <c r="D34" s="12" t="s">
        <v>15</v>
      </c>
      <c r="E34" s="15" t="s">
        <v>216</v>
      </c>
      <c r="F34" s="11"/>
      <c r="G34" s="10"/>
    </row>
    <row r="35" spans="2:7" x14ac:dyDescent="0.2">
      <c r="B35" s="11">
        <v>13</v>
      </c>
      <c r="C35" s="12" t="s">
        <v>123</v>
      </c>
      <c r="D35" s="12" t="s">
        <v>16</v>
      </c>
      <c r="E35" s="15" t="s">
        <v>217</v>
      </c>
      <c r="F35" s="11"/>
      <c r="G35" s="10"/>
    </row>
    <row r="36" spans="2:7" x14ac:dyDescent="0.2">
      <c r="B36" s="11">
        <v>14</v>
      </c>
      <c r="C36" s="12" t="s">
        <v>84</v>
      </c>
      <c r="D36" s="12" t="s">
        <v>17</v>
      </c>
      <c r="E36" s="15" t="s">
        <v>218</v>
      </c>
      <c r="F36" s="11"/>
      <c r="G36" s="10"/>
    </row>
    <row r="37" spans="2:7" x14ac:dyDescent="0.2">
      <c r="B37" s="11">
        <v>15</v>
      </c>
      <c r="C37" s="12" t="s">
        <v>175</v>
      </c>
      <c r="D37" s="12" t="s">
        <v>176</v>
      </c>
      <c r="E37" s="15" t="s">
        <v>219</v>
      </c>
      <c r="F37" s="12"/>
      <c r="G37" s="10"/>
    </row>
    <row r="38" spans="2:7" x14ac:dyDescent="0.2">
      <c r="B38" s="11">
        <v>16</v>
      </c>
      <c r="C38" s="15" t="s">
        <v>360</v>
      </c>
      <c r="D38" s="15" t="s">
        <v>12</v>
      </c>
      <c r="E38" s="15" t="s">
        <v>367</v>
      </c>
      <c r="F38" s="11"/>
      <c r="G38" s="10"/>
    </row>
    <row r="39" spans="2:7" x14ac:dyDescent="0.2">
      <c r="B39" s="11">
        <v>17</v>
      </c>
      <c r="C39" s="62" t="s">
        <v>365</v>
      </c>
      <c r="D39" s="15" t="s">
        <v>366</v>
      </c>
      <c r="E39" s="15" t="s">
        <v>368</v>
      </c>
      <c r="F39" s="11"/>
      <c r="G39" s="10"/>
    </row>
    <row r="40" spans="2:7" x14ac:dyDescent="0.2">
      <c r="B40" s="11">
        <v>18</v>
      </c>
      <c r="C40" s="12" t="s">
        <v>4</v>
      </c>
      <c r="D40" s="12" t="s">
        <v>1</v>
      </c>
      <c r="E40" s="15" t="s">
        <v>220</v>
      </c>
      <c r="F40" s="11"/>
      <c r="G40" s="10"/>
    </row>
    <row r="41" spans="2:7" x14ac:dyDescent="0.2">
      <c r="B41" s="11">
        <v>19</v>
      </c>
      <c r="C41" s="12" t="s">
        <v>33</v>
      </c>
      <c r="D41" s="12" t="s">
        <v>18</v>
      </c>
      <c r="E41" s="15" t="s">
        <v>221</v>
      </c>
      <c r="F41" s="11"/>
      <c r="G41" s="10"/>
    </row>
    <row r="42" spans="2:7" x14ac:dyDescent="0.2">
      <c r="B42" s="11">
        <v>20</v>
      </c>
      <c r="C42" s="12" t="s">
        <v>42</v>
      </c>
      <c r="D42" s="12" t="s">
        <v>19</v>
      </c>
      <c r="E42" s="15" t="s">
        <v>222</v>
      </c>
      <c r="F42" s="11"/>
      <c r="G42" s="10"/>
    </row>
    <row r="43" spans="2:7" x14ac:dyDescent="0.2">
      <c r="B43" s="11">
        <v>21</v>
      </c>
      <c r="C43" s="12" t="s">
        <v>36</v>
      </c>
      <c r="D43" s="12" t="s">
        <v>35</v>
      </c>
      <c r="E43" s="15" t="s">
        <v>223</v>
      </c>
      <c r="F43" s="11"/>
      <c r="G43" s="10"/>
    </row>
    <row r="44" spans="2:7" x14ac:dyDescent="0.2">
      <c r="B44" s="11">
        <v>22</v>
      </c>
      <c r="C44" s="12" t="s">
        <v>38</v>
      </c>
      <c r="D44" s="12" t="s">
        <v>37</v>
      </c>
      <c r="E44" s="15" t="s">
        <v>224</v>
      </c>
      <c r="F44" s="11"/>
      <c r="G44" s="10"/>
    </row>
    <row r="45" spans="2:7" x14ac:dyDescent="0.2">
      <c r="B45" s="11">
        <v>23</v>
      </c>
      <c r="C45" s="12" t="s">
        <v>187</v>
      </c>
      <c r="D45" s="12" t="s">
        <v>83</v>
      </c>
      <c r="E45" s="15" t="s">
        <v>225</v>
      </c>
      <c r="F45" s="11"/>
      <c r="G45" s="10"/>
    </row>
    <row r="46" spans="2:7" x14ac:dyDescent="0.2">
      <c r="B46" s="11">
        <v>24</v>
      </c>
      <c r="C46" s="12" t="s">
        <v>34</v>
      </c>
      <c r="D46" s="12" t="s">
        <v>20</v>
      </c>
      <c r="E46" s="15" t="s">
        <v>226</v>
      </c>
      <c r="F46" s="11"/>
      <c r="G46" s="10"/>
    </row>
    <row r="47" spans="2:7" x14ac:dyDescent="0.2">
      <c r="B47" s="11">
        <v>25</v>
      </c>
      <c r="C47" s="12" t="s">
        <v>30</v>
      </c>
      <c r="D47" s="12" t="s">
        <v>9</v>
      </c>
      <c r="E47" s="15" t="s">
        <v>227</v>
      </c>
      <c r="F47" s="11"/>
      <c r="G47" s="10"/>
    </row>
    <row r="48" spans="2:7" x14ac:dyDescent="0.2">
      <c r="B48" s="11">
        <v>26</v>
      </c>
      <c r="C48" s="12" t="s">
        <v>85</v>
      </c>
      <c r="D48" s="12" t="s">
        <v>86</v>
      </c>
      <c r="E48" s="15" t="s">
        <v>228</v>
      </c>
      <c r="F48" s="11"/>
      <c r="G48" s="10"/>
    </row>
    <row r="49" spans="2:7" x14ac:dyDescent="0.2">
      <c r="B49" s="11">
        <v>27</v>
      </c>
      <c r="C49" s="15" t="s">
        <v>139</v>
      </c>
      <c r="D49" s="15" t="s">
        <v>294</v>
      </c>
      <c r="E49" s="15" t="s">
        <v>229</v>
      </c>
      <c r="F49" s="11"/>
      <c r="G49" s="10"/>
    </row>
    <row r="50" spans="2:7" x14ac:dyDescent="0.2">
      <c r="B50" s="11">
        <v>28</v>
      </c>
      <c r="C50" s="15" t="s">
        <v>140</v>
      </c>
      <c r="D50" s="15" t="s">
        <v>141</v>
      </c>
      <c r="E50" s="15" t="s">
        <v>230</v>
      </c>
      <c r="F50" s="11"/>
      <c r="G50" s="10"/>
    </row>
    <row r="51" spans="2:7" x14ac:dyDescent="0.2">
      <c r="B51" s="11">
        <v>29</v>
      </c>
      <c r="C51" s="12" t="s">
        <v>58</v>
      </c>
      <c r="D51" s="12" t="s">
        <v>59</v>
      </c>
      <c r="E51" s="15" t="s">
        <v>231</v>
      </c>
      <c r="F51" s="11"/>
      <c r="G51" s="10"/>
    </row>
    <row r="52" spans="2:7" x14ac:dyDescent="0.2">
      <c r="B52" s="11">
        <v>30</v>
      </c>
      <c r="C52" s="12" t="s">
        <v>63</v>
      </c>
      <c r="D52" s="12" t="s">
        <v>60</v>
      </c>
      <c r="E52" s="15" t="s">
        <v>60</v>
      </c>
      <c r="F52" s="11"/>
      <c r="G52" s="10"/>
    </row>
    <row r="53" spans="2:7" x14ac:dyDescent="0.2">
      <c r="B53" s="11">
        <v>31</v>
      </c>
      <c r="C53" s="12" t="s">
        <v>62</v>
      </c>
      <c r="D53" s="12" t="s">
        <v>61</v>
      </c>
      <c r="E53" s="15" t="s">
        <v>232</v>
      </c>
      <c r="F53" s="11"/>
      <c r="G53" s="10"/>
    </row>
    <row r="54" spans="2:7" x14ac:dyDescent="0.2">
      <c r="B54" s="11">
        <v>32</v>
      </c>
      <c r="C54" s="12" t="s">
        <v>67</v>
      </c>
      <c r="D54" s="12" t="s">
        <v>40</v>
      </c>
      <c r="E54" s="15" t="s">
        <v>237</v>
      </c>
      <c r="F54" s="11"/>
      <c r="G54" s="10"/>
    </row>
    <row r="55" spans="2:7" x14ac:dyDescent="0.2">
      <c r="B55" s="11"/>
      <c r="C55" s="12"/>
      <c r="D55" s="12"/>
      <c r="E55" s="15"/>
      <c r="F55" s="11"/>
      <c r="G55" s="10"/>
    </row>
    <row r="56" spans="2:7" x14ac:dyDescent="0.2">
      <c r="B56" s="11">
        <v>40</v>
      </c>
      <c r="C56" s="12" t="s">
        <v>3</v>
      </c>
      <c r="D56" s="12" t="s">
        <v>2</v>
      </c>
      <c r="E56" s="15" t="s">
        <v>233</v>
      </c>
      <c r="F56" s="14"/>
    </row>
    <row r="57" spans="2:7" x14ac:dyDescent="0.2">
      <c r="B57" s="11">
        <v>41</v>
      </c>
      <c r="C57" s="12" t="s">
        <v>133</v>
      </c>
      <c r="D57" s="12" t="s">
        <v>134</v>
      </c>
      <c r="E57" s="15" t="s">
        <v>234</v>
      </c>
      <c r="F57" s="14"/>
    </row>
    <row r="58" spans="2:7" x14ac:dyDescent="0.2">
      <c r="B58" s="11">
        <v>42</v>
      </c>
      <c r="C58" s="12" t="s">
        <v>135</v>
      </c>
      <c r="D58" s="12" t="s">
        <v>136</v>
      </c>
      <c r="E58" s="15" t="s">
        <v>235</v>
      </c>
      <c r="F58" s="14"/>
    </row>
    <row r="59" spans="2:7" x14ac:dyDescent="0.2">
      <c r="B59" s="11">
        <v>43</v>
      </c>
      <c r="C59" s="12" t="s">
        <v>4</v>
      </c>
      <c r="D59" s="12" t="s">
        <v>1</v>
      </c>
      <c r="E59" s="15" t="s">
        <v>220</v>
      </c>
      <c r="F59" s="14"/>
    </row>
    <row r="60" spans="2:7" x14ac:dyDescent="0.2">
      <c r="B60" s="11">
        <v>44</v>
      </c>
      <c r="C60" s="12" t="s">
        <v>137</v>
      </c>
      <c r="D60" s="12" t="s">
        <v>138</v>
      </c>
      <c r="E60" s="15" t="s">
        <v>236</v>
      </c>
      <c r="F60" s="14"/>
    </row>
    <row r="61" spans="2:7" x14ac:dyDescent="0.2">
      <c r="B61" s="11">
        <v>45</v>
      </c>
      <c r="C61" s="12" t="s">
        <v>39</v>
      </c>
      <c r="D61" s="12" t="s">
        <v>39</v>
      </c>
      <c r="E61" s="15" t="s">
        <v>39</v>
      </c>
      <c r="F61" s="14"/>
    </row>
    <row r="62" spans="2:7" x14ac:dyDescent="0.2">
      <c r="B62" s="11">
        <v>46</v>
      </c>
      <c r="C62" s="12" t="s">
        <v>67</v>
      </c>
      <c r="D62" s="12" t="s">
        <v>40</v>
      </c>
      <c r="E62" s="15" t="s">
        <v>237</v>
      </c>
      <c r="F62" s="14"/>
    </row>
    <row r="63" spans="2:7" x14ac:dyDescent="0.2">
      <c r="B63" s="11"/>
      <c r="C63" s="12"/>
      <c r="D63" s="12"/>
      <c r="E63" s="15"/>
      <c r="F63" s="14"/>
    </row>
    <row r="64" spans="2:7" x14ac:dyDescent="0.2">
      <c r="B64" s="11">
        <v>80</v>
      </c>
      <c r="C64" s="12" t="s">
        <v>56</v>
      </c>
      <c r="D64" s="12" t="s">
        <v>49</v>
      </c>
      <c r="E64" s="15" t="s">
        <v>238</v>
      </c>
      <c r="F64" s="12"/>
    </row>
    <row r="65" spans="2:6" x14ac:dyDescent="0.2">
      <c r="B65" s="11">
        <v>81</v>
      </c>
      <c r="C65" s="12" t="s">
        <v>108</v>
      </c>
      <c r="D65" s="12" t="s">
        <v>107</v>
      </c>
      <c r="E65" s="15" t="s">
        <v>108</v>
      </c>
      <c r="F65" s="12"/>
    </row>
    <row r="66" spans="2:6" x14ac:dyDescent="0.2">
      <c r="B66" s="11">
        <v>82</v>
      </c>
      <c r="C66" s="12" t="s">
        <v>57</v>
      </c>
      <c r="D66" s="12" t="s">
        <v>50</v>
      </c>
      <c r="E66" s="15" t="s">
        <v>50</v>
      </c>
      <c r="F66" s="12"/>
    </row>
    <row r="67" spans="2:6" x14ac:dyDescent="0.2">
      <c r="B67" s="11">
        <v>83</v>
      </c>
      <c r="C67" s="12" t="s">
        <v>116</v>
      </c>
      <c r="D67" s="12" t="s">
        <v>110</v>
      </c>
      <c r="E67" s="15" t="s">
        <v>116</v>
      </c>
      <c r="F67" s="14"/>
    </row>
    <row r="68" spans="2:6" x14ac:dyDescent="0.2">
      <c r="B68" s="11">
        <v>84</v>
      </c>
      <c r="C68" s="12" t="s">
        <v>117</v>
      </c>
      <c r="D68" s="12" t="s">
        <v>111</v>
      </c>
      <c r="E68" s="15" t="s">
        <v>117</v>
      </c>
      <c r="F68" s="14"/>
    </row>
    <row r="69" spans="2:6" x14ac:dyDescent="0.2">
      <c r="B69" s="11">
        <v>85</v>
      </c>
      <c r="C69" s="12" t="s">
        <v>118</v>
      </c>
      <c r="D69" s="12" t="s">
        <v>112</v>
      </c>
      <c r="E69" s="15" t="s">
        <v>118</v>
      </c>
      <c r="F69" s="14"/>
    </row>
    <row r="70" spans="2:6" x14ac:dyDescent="0.2">
      <c r="B70" s="11">
        <v>86</v>
      </c>
      <c r="C70" s="12" t="s">
        <v>119</v>
      </c>
      <c r="D70" s="12" t="s">
        <v>113</v>
      </c>
      <c r="E70" s="15" t="s">
        <v>239</v>
      </c>
      <c r="F70" s="14"/>
    </row>
    <row r="71" spans="2:6" x14ac:dyDescent="0.2">
      <c r="B71" s="11">
        <v>87</v>
      </c>
      <c r="C71" s="12" t="s">
        <v>120</v>
      </c>
      <c r="D71" s="12" t="s">
        <v>114</v>
      </c>
      <c r="E71" s="15" t="s">
        <v>114</v>
      </c>
      <c r="F71" s="14"/>
    </row>
    <row r="72" spans="2:6" x14ac:dyDescent="0.2">
      <c r="B72" s="11">
        <v>88</v>
      </c>
      <c r="C72" s="12" t="s">
        <v>132</v>
      </c>
      <c r="D72" s="12" t="s">
        <v>109</v>
      </c>
      <c r="E72" s="15" t="s">
        <v>240</v>
      </c>
      <c r="F72" s="14"/>
    </row>
    <row r="73" spans="2:6" x14ac:dyDescent="0.2">
      <c r="B73" s="11">
        <v>89</v>
      </c>
      <c r="C73" s="12" t="s">
        <v>121</v>
      </c>
      <c r="D73" s="12" t="s">
        <v>115</v>
      </c>
      <c r="E73" s="15" t="s">
        <v>115</v>
      </c>
      <c r="F73" s="14"/>
    </row>
    <row r="74" spans="2:6" x14ac:dyDescent="0.2">
      <c r="B74" s="11">
        <v>90</v>
      </c>
      <c r="C74" s="12" t="s">
        <v>302</v>
      </c>
      <c r="D74" s="12" t="s">
        <v>301</v>
      </c>
      <c r="E74" s="15" t="s">
        <v>303</v>
      </c>
      <c r="F74" s="14"/>
    </row>
    <row r="75" spans="2:6" x14ac:dyDescent="0.2">
      <c r="B75" s="11">
        <v>91</v>
      </c>
      <c r="C75" s="12" t="s">
        <v>300</v>
      </c>
      <c r="D75" s="12" t="s">
        <v>300</v>
      </c>
      <c r="E75" s="15" t="s">
        <v>300</v>
      </c>
      <c r="F75" s="14"/>
    </row>
    <row r="76" spans="2:6" x14ac:dyDescent="0.2">
      <c r="B76" s="11"/>
      <c r="C76" s="12"/>
      <c r="D76" s="12"/>
      <c r="E76" s="15"/>
      <c r="F76" s="14"/>
    </row>
    <row r="77" spans="2:6" x14ac:dyDescent="0.2">
      <c r="B77" s="11">
        <v>100</v>
      </c>
      <c r="C77" s="12" t="s">
        <v>148</v>
      </c>
      <c r="D77" s="12" t="s">
        <v>149</v>
      </c>
      <c r="E77" s="15" t="s">
        <v>241</v>
      </c>
      <c r="F77" s="14"/>
    </row>
    <row r="78" spans="2:6" x14ac:dyDescent="0.2">
      <c r="B78" s="11">
        <v>101</v>
      </c>
      <c r="C78" s="12" t="s">
        <v>144</v>
      </c>
      <c r="D78" s="12" t="s">
        <v>145</v>
      </c>
      <c r="E78" s="15" t="s">
        <v>242</v>
      </c>
      <c r="F78" s="14"/>
    </row>
    <row r="79" spans="2:6" x14ac:dyDescent="0.2">
      <c r="B79" s="11">
        <v>102</v>
      </c>
      <c r="C79" s="12" t="s">
        <v>150</v>
      </c>
      <c r="D79" s="12" t="s">
        <v>151</v>
      </c>
      <c r="E79" s="15" t="s">
        <v>243</v>
      </c>
      <c r="F79" s="14"/>
    </row>
    <row r="80" spans="2:6" x14ac:dyDescent="0.2">
      <c r="B80" s="11">
        <v>103</v>
      </c>
      <c r="C80" s="12" t="s">
        <v>152</v>
      </c>
      <c r="D80" s="12" t="s">
        <v>153</v>
      </c>
      <c r="E80" s="15" t="s">
        <v>244</v>
      </c>
      <c r="F80" s="14"/>
    </row>
    <row r="81" spans="2:6" x14ac:dyDescent="0.2">
      <c r="B81" s="11">
        <v>104</v>
      </c>
      <c r="C81" s="12" t="s">
        <v>167</v>
      </c>
      <c r="D81" s="12" t="s">
        <v>168</v>
      </c>
      <c r="E81" s="15" t="s">
        <v>245</v>
      </c>
      <c r="F81" s="14"/>
    </row>
    <row r="82" spans="2:6" x14ac:dyDescent="0.2">
      <c r="B82" s="11">
        <v>105</v>
      </c>
      <c r="C82" s="12" t="s">
        <v>325</v>
      </c>
      <c r="D82" s="15" t="s">
        <v>326</v>
      </c>
      <c r="E82" s="15" t="s">
        <v>369</v>
      </c>
      <c r="F82" s="14"/>
    </row>
    <row r="83" spans="2:6" ht="24" x14ac:dyDescent="0.2">
      <c r="B83" s="11">
        <v>106</v>
      </c>
      <c r="C83" s="12" t="s">
        <v>324</v>
      </c>
      <c r="D83" s="15" t="s">
        <v>327</v>
      </c>
      <c r="E83" s="15" t="s">
        <v>328</v>
      </c>
      <c r="F83" s="14"/>
    </row>
    <row r="84" spans="2:6" x14ac:dyDescent="0.2">
      <c r="B84" s="11"/>
      <c r="C84" s="12"/>
      <c r="D84" s="12"/>
      <c r="E84" s="15"/>
      <c r="F84" s="14"/>
    </row>
    <row r="85" spans="2:6" x14ac:dyDescent="0.2">
      <c r="B85" s="11">
        <v>150</v>
      </c>
      <c r="C85" s="12" t="s">
        <v>155</v>
      </c>
      <c r="D85" s="12" t="s">
        <v>161</v>
      </c>
      <c r="E85" s="15" t="s">
        <v>155</v>
      </c>
      <c r="F85" s="14"/>
    </row>
    <row r="86" spans="2:6" x14ac:dyDescent="0.2">
      <c r="B86" s="11">
        <v>151</v>
      </c>
      <c r="C86" s="12" t="s">
        <v>162</v>
      </c>
      <c r="D86" s="12" t="s">
        <v>163</v>
      </c>
      <c r="E86" s="15" t="s">
        <v>246</v>
      </c>
      <c r="F86" s="14"/>
    </row>
    <row r="87" spans="2:6" x14ac:dyDescent="0.2">
      <c r="B87" s="11">
        <v>152</v>
      </c>
      <c r="C87" s="12" t="s">
        <v>157</v>
      </c>
      <c r="D87" s="12" t="s">
        <v>157</v>
      </c>
      <c r="E87" s="15" t="s">
        <v>247</v>
      </c>
      <c r="F87" s="14"/>
    </row>
    <row r="88" spans="2:6" x14ac:dyDescent="0.2">
      <c r="B88" s="11">
        <v>153</v>
      </c>
      <c r="C88" s="12" t="s">
        <v>158</v>
      </c>
      <c r="D88" s="12" t="s">
        <v>164</v>
      </c>
      <c r="E88" s="15" t="s">
        <v>158</v>
      </c>
      <c r="F88" s="14"/>
    </row>
    <row r="89" spans="2:6" x14ac:dyDescent="0.2">
      <c r="B89" s="11">
        <v>154</v>
      </c>
      <c r="C89" s="12" t="s">
        <v>156</v>
      </c>
      <c r="D89" s="12" t="s">
        <v>166</v>
      </c>
      <c r="E89" s="15" t="s">
        <v>165</v>
      </c>
      <c r="F89" s="14"/>
    </row>
    <row r="90" spans="2:6" x14ac:dyDescent="0.2">
      <c r="B90" s="11"/>
      <c r="C90" s="12"/>
      <c r="D90" s="12"/>
      <c r="E90" s="15"/>
      <c r="F90" s="14"/>
    </row>
    <row r="91" spans="2:6" x14ac:dyDescent="0.2">
      <c r="B91" s="11">
        <v>200</v>
      </c>
      <c r="C91" s="12" t="s">
        <v>172</v>
      </c>
      <c r="D91" s="12" t="s">
        <v>173</v>
      </c>
      <c r="E91" s="15" t="s">
        <v>248</v>
      </c>
      <c r="F91" s="14"/>
    </row>
    <row r="92" spans="2:6" x14ac:dyDescent="0.2">
      <c r="B92" s="11">
        <v>201</v>
      </c>
      <c r="C92" s="12" t="s">
        <v>87</v>
      </c>
      <c r="D92" s="12" t="s">
        <v>89</v>
      </c>
      <c r="E92" s="15" t="s">
        <v>249</v>
      </c>
      <c r="F92" s="14"/>
    </row>
    <row r="93" spans="2:6" x14ac:dyDescent="0.2">
      <c r="B93" s="11">
        <v>202</v>
      </c>
      <c r="C93" s="12" t="s">
        <v>169</v>
      </c>
      <c r="D93" s="12" t="s">
        <v>88</v>
      </c>
      <c r="E93" s="15" t="s">
        <v>250</v>
      </c>
      <c r="F93" s="14"/>
    </row>
    <row r="94" spans="2:6" x14ac:dyDescent="0.2">
      <c r="B94" s="11">
        <v>203</v>
      </c>
      <c r="C94" s="12" t="s">
        <v>170</v>
      </c>
      <c r="D94" s="12" t="s">
        <v>171</v>
      </c>
      <c r="E94" s="15" t="s">
        <v>251</v>
      </c>
      <c r="F94" s="14"/>
    </row>
    <row r="95" spans="2:6" x14ac:dyDescent="0.2">
      <c r="B95" s="11">
        <v>204</v>
      </c>
      <c r="C95" s="12" t="s">
        <v>92</v>
      </c>
      <c r="D95" s="12" t="s">
        <v>90</v>
      </c>
      <c r="E95" s="15" t="s">
        <v>252</v>
      </c>
      <c r="F95" s="14"/>
    </row>
    <row r="96" spans="2:6" x14ac:dyDescent="0.2">
      <c r="B96" s="11">
        <v>205</v>
      </c>
      <c r="C96" s="12" t="s">
        <v>93</v>
      </c>
      <c r="D96" s="12" t="s">
        <v>91</v>
      </c>
      <c r="E96" s="15" t="s">
        <v>253</v>
      </c>
      <c r="F96" s="14"/>
    </row>
    <row r="97" spans="2:6" x14ac:dyDescent="0.2">
      <c r="B97" s="11">
        <v>206</v>
      </c>
      <c r="C97" s="12" t="s">
        <v>183</v>
      </c>
      <c r="D97" s="12" t="s">
        <v>279</v>
      </c>
      <c r="E97" s="15" t="s">
        <v>254</v>
      </c>
      <c r="F97" s="14"/>
    </row>
    <row r="98" spans="2:6" x14ac:dyDescent="0.2">
      <c r="B98" s="11">
        <v>207</v>
      </c>
      <c r="C98" s="12" t="s">
        <v>363</v>
      </c>
      <c r="D98" s="12" t="s">
        <v>280</v>
      </c>
      <c r="E98" s="15" t="s">
        <v>364</v>
      </c>
      <c r="F98" s="14"/>
    </row>
    <row r="99" spans="2:6" x14ac:dyDescent="0.2">
      <c r="B99" s="11">
        <v>208</v>
      </c>
      <c r="C99" s="12" t="s">
        <v>174</v>
      </c>
      <c r="D99" s="12" t="s">
        <v>174</v>
      </c>
      <c r="E99" s="15" t="s">
        <v>174</v>
      </c>
      <c r="F99" s="14"/>
    </row>
    <row r="100" spans="2:6" x14ac:dyDescent="0.2">
      <c r="B100" s="11">
        <v>209</v>
      </c>
      <c r="C100" s="12" t="s">
        <v>129</v>
      </c>
      <c r="D100" s="12" t="s">
        <v>281</v>
      </c>
      <c r="E100" s="15" t="s">
        <v>129</v>
      </c>
      <c r="F100" s="14"/>
    </row>
    <row r="101" spans="2:6" x14ac:dyDescent="0.2">
      <c r="B101" s="11">
        <v>210</v>
      </c>
      <c r="C101" s="12" t="s">
        <v>359</v>
      </c>
      <c r="D101" s="12" t="s">
        <v>362</v>
      </c>
      <c r="E101" s="13" t="s">
        <v>361</v>
      </c>
      <c r="F101" s="14"/>
    </row>
    <row r="102" spans="2:6" x14ac:dyDescent="0.2">
      <c r="B102" s="11">
        <v>211</v>
      </c>
      <c r="C102" s="15" t="s">
        <v>372</v>
      </c>
      <c r="D102" s="15" t="s">
        <v>375</v>
      </c>
      <c r="E102" s="15" t="s">
        <v>376</v>
      </c>
      <c r="F102" s="14"/>
    </row>
    <row r="103" spans="2:6" x14ac:dyDescent="0.2">
      <c r="B103" s="11">
        <v>212</v>
      </c>
      <c r="C103" s="62" t="s">
        <v>373</v>
      </c>
      <c r="D103" s="15" t="s">
        <v>374</v>
      </c>
      <c r="E103" s="15" t="s">
        <v>377</v>
      </c>
      <c r="F103" s="14"/>
    </row>
    <row r="104" spans="2:6" x14ac:dyDescent="0.2">
      <c r="B104" s="11">
        <v>213</v>
      </c>
      <c r="C104" s="12"/>
      <c r="D104" s="12"/>
      <c r="E104" s="15"/>
      <c r="F104" s="14"/>
    </row>
    <row r="105" spans="2:6" x14ac:dyDescent="0.2">
      <c r="B105" s="11">
        <v>214</v>
      </c>
      <c r="C105" s="12"/>
      <c r="D105" s="12"/>
      <c r="E105" s="15"/>
      <c r="F105" s="14"/>
    </row>
    <row r="106" spans="2:6" x14ac:dyDescent="0.2">
      <c r="B106" s="11">
        <v>215</v>
      </c>
      <c r="C106" s="12"/>
      <c r="D106" s="12"/>
      <c r="E106" s="15"/>
      <c r="F106" s="14"/>
    </row>
    <row r="107" spans="2:6" x14ac:dyDescent="0.2">
      <c r="B107" s="11">
        <v>216</v>
      </c>
      <c r="C107" s="12"/>
      <c r="D107" s="12"/>
      <c r="E107" s="15"/>
      <c r="F107" s="14"/>
    </row>
    <row r="108" spans="2:6" x14ac:dyDescent="0.2">
      <c r="B108" s="11">
        <v>217</v>
      </c>
      <c r="C108" s="12"/>
      <c r="D108" s="12"/>
      <c r="E108" s="15"/>
      <c r="F108" s="14"/>
    </row>
    <row r="109" spans="2:6" x14ac:dyDescent="0.2">
      <c r="B109" s="11">
        <v>218</v>
      </c>
      <c r="C109" s="12"/>
      <c r="D109" s="12"/>
      <c r="E109" s="15"/>
      <c r="F109" s="14"/>
    </row>
    <row r="110" spans="2:6" x14ac:dyDescent="0.2">
      <c r="B110" s="11">
        <v>219</v>
      </c>
      <c r="C110" s="12"/>
      <c r="D110" s="12"/>
      <c r="E110" s="15"/>
      <c r="F110" s="14"/>
    </row>
    <row r="111" spans="2:6" x14ac:dyDescent="0.2">
      <c r="B111" s="11">
        <v>220</v>
      </c>
      <c r="C111" s="12"/>
      <c r="D111" s="12"/>
      <c r="E111" s="15"/>
      <c r="F111" s="14"/>
    </row>
    <row r="112" spans="2:6" x14ac:dyDescent="0.2">
      <c r="B112" s="11">
        <v>221</v>
      </c>
      <c r="C112" s="12"/>
      <c r="D112" s="12"/>
      <c r="E112" s="15"/>
      <c r="F112" s="14"/>
    </row>
    <row r="113" spans="2:6" x14ac:dyDescent="0.2">
      <c r="B113" s="11">
        <v>222</v>
      </c>
      <c r="C113" s="12"/>
      <c r="D113" s="12"/>
      <c r="E113" s="15"/>
      <c r="F113" s="14"/>
    </row>
    <row r="114" spans="2:6" x14ac:dyDescent="0.2">
      <c r="B114" s="11">
        <v>223</v>
      </c>
      <c r="C114" s="12"/>
      <c r="D114" s="12"/>
      <c r="E114" s="15"/>
      <c r="F114" s="14"/>
    </row>
    <row r="115" spans="2:6" x14ac:dyDescent="0.2">
      <c r="B115" s="11">
        <v>224</v>
      </c>
      <c r="C115" s="12"/>
      <c r="D115" s="12"/>
      <c r="E115" s="15"/>
      <c r="F115" s="14"/>
    </row>
    <row r="116" spans="2:6" x14ac:dyDescent="0.2">
      <c r="B116" s="11">
        <v>225</v>
      </c>
      <c r="C116" s="12"/>
      <c r="D116" s="12"/>
      <c r="E116" s="15"/>
      <c r="F116" s="14"/>
    </row>
    <row r="117" spans="2:6" x14ac:dyDescent="0.2">
      <c r="B117" s="11">
        <v>226</v>
      </c>
      <c r="C117" s="12"/>
      <c r="D117" s="12"/>
      <c r="E117" s="15"/>
      <c r="F117" s="14"/>
    </row>
    <row r="118" spans="2:6" x14ac:dyDescent="0.2">
      <c r="B118" s="11">
        <v>227</v>
      </c>
      <c r="C118" s="12" t="s">
        <v>184</v>
      </c>
      <c r="D118" s="12" t="s">
        <v>104</v>
      </c>
      <c r="E118" s="15" t="s">
        <v>255</v>
      </c>
      <c r="F118" s="14"/>
    </row>
    <row r="119" spans="2:6" x14ac:dyDescent="0.2">
      <c r="B119" s="11">
        <v>228</v>
      </c>
      <c r="C119" s="12" t="s">
        <v>185</v>
      </c>
      <c r="D119" s="12" t="s">
        <v>105</v>
      </c>
      <c r="E119" s="15" t="s">
        <v>256</v>
      </c>
      <c r="F119" s="14"/>
    </row>
    <row r="120" spans="2:6" x14ac:dyDescent="0.2">
      <c r="B120" s="11">
        <v>229</v>
      </c>
      <c r="C120" s="12" t="s">
        <v>186</v>
      </c>
      <c r="D120" s="12" t="s">
        <v>106</v>
      </c>
      <c r="E120" s="15" t="s">
        <v>257</v>
      </c>
      <c r="F120" s="14"/>
    </row>
    <row r="121" spans="2:6" x14ac:dyDescent="0.2">
      <c r="B121" s="11">
        <v>230</v>
      </c>
      <c r="C121" s="12"/>
      <c r="D121" s="12"/>
      <c r="E121" s="15"/>
      <c r="F121" s="14"/>
    </row>
    <row r="122" spans="2:6" x14ac:dyDescent="0.2">
      <c r="B122" s="11">
        <v>231</v>
      </c>
      <c r="C122" s="12"/>
      <c r="D122" s="12"/>
      <c r="E122" s="15"/>
      <c r="F122" s="14"/>
    </row>
    <row r="123" spans="2:6" x14ac:dyDescent="0.2">
      <c r="B123" s="11">
        <v>232</v>
      </c>
      <c r="C123" s="12"/>
      <c r="D123" s="12"/>
      <c r="E123" s="15"/>
      <c r="F123" s="14"/>
    </row>
    <row r="124" spans="2:6" x14ac:dyDescent="0.2">
      <c r="B124" s="11">
        <v>233</v>
      </c>
      <c r="C124" s="12"/>
      <c r="D124" s="12"/>
      <c r="E124" s="15"/>
      <c r="F124" s="14"/>
    </row>
    <row r="125" spans="2:6" x14ac:dyDescent="0.2">
      <c r="B125" s="11">
        <v>234</v>
      </c>
      <c r="C125" s="12"/>
      <c r="D125" s="12"/>
      <c r="E125" s="15"/>
      <c r="F125" s="14"/>
    </row>
    <row r="126" spans="2:6" x14ac:dyDescent="0.2">
      <c r="B126" s="11">
        <v>235</v>
      </c>
      <c r="C126" s="12"/>
      <c r="D126" s="12"/>
      <c r="E126" s="15"/>
      <c r="F126" s="14"/>
    </row>
    <row r="127" spans="2:6" x14ac:dyDescent="0.2">
      <c r="B127" s="11">
        <v>236</v>
      </c>
      <c r="C127" s="12"/>
      <c r="D127" s="12"/>
      <c r="E127" s="15"/>
      <c r="F127" s="14"/>
    </row>
    <row r="128" spans="2:6" x14ac:dyDescent="0.2">
      <c r="B128" s="11">
        <v>237</v>
      </c>
      <c r="C128" s="12"/>
      <c r="D128" s="12"/>
      <c r="E128" s="15"/>
      <c r="F128" s="14"/>
    </row>
    <row r="129" spans="2:6" x14ac:dyDescent="0.2">
      <c r="B129" s="11"/>
      <c r="C129" s="12"/>
      <c r="D129" s="12"/>
      <c r="E129" s="15"/>
      <c r="F129" s="14"/>
    </row>
    <row r="130" spans="2:6" x14ac:dyDescent="0.2">
      <c r="B130" s="11">
        <v>240</v>
      </c>
      <c r="C130" s="12" t="s">
        <v>81</v>
      </c>
      <c r="D130" s="12" t="s">
        <v>82</v>
      </c>
      <c r="E130" s="15" t="s">
        <v>258</v>
      </c>
      <c r="F130" s="14"/>
    </row>
    <row r="131" spans="2:6" x14ac:dyDescent="0.2">
      <c r="B131" s="11"/>
      <c r="C131" s="12"/>
      <c r="D131" s="12"/>
      <c r="E131" s="15"/>
      <c r="F131" s="14"/>
    </row>
    <row r="132" spans="2:6" x14ac:dyDescent="0.2">
      <c r="B132" s="11">
        <v>250</v>
      </c>
      <c r="C132" s="12" t="s">
        <v>126</v>
      </c>
      <c r="D132" s="12" t="s">
        <v>177</v>
      </c>
      <c r="E132" s="15" t="s">
        <v>259</v>
      </c>
      <c r="F132" s="14"/>
    </row>
    <row r="133" spans="2:6" x14ac:dyDescent="0.2">
      <c r="B133" s="11">
        <v>251</v>
      </c>
      <c r="C133" s="12" t="s">
        <v>127</v>
      </c>
      <c r="D133" s="12" t="s">
        <v>178</v>
      </c>
      <c r="E133" s="15" t="s">
        <v>260</v>
      </c>
      <c r="F133" s="14"/>
    </row>
    <row r="134" spans="2:6" x14ac:dyDescent="0.2">
      <c r="B134" s="11">
        <v>252</v>
      </c>
      <c r="C134" s="12" t="s">
        <v>128</v>
      </c>
      <c r="D134" s="12" t="s">
        <v>179</v>
      </c>
      <c r="E134" s="15" t="s">
        <v>261</v>
      </c>
      <c r="F134" s="14"/>
    </row>
    <row r="135" spans="2:6" ht="36" x14ac:dyDescent="0.2">
      <c r="B135" s="11">
        <v>253</v>
      </c>
      <c r="C135" s="12" t="s">
        <v>180</v>
      </c>
      <c r="D135" s="12" t="s">
        <v>282</v>
      </c>
      <c r="E135" s="15" t="s">
        <v>273</v>
      </c>
      <c r="F135" s="14"/>
    </row>
    <row r="136" spans="2:6" ht="36" x14ac:dyDescent="0.2">
      <c r="B136" s="11">
        <v>254</v>
      </c>
      <c r="C136" s="12" t="s">
        <v>181</v>
      </c>
      <c r="D136" s="12" t="s">
        <v>283</v>
      </c>
      <c r="E136" s="15" t="s">
        <v>274</v>
      </c>
      <c r="F136" s="14"/>
    </row>
    <row r="137" spans="2:6" ht="24" x14ac:dyDescent="0.2">
      <c r="B137" s="11">
        <v>255</v>
      </c>
      <c r="C137" s="12" t="s">
        <v>182</v>
      </c>
      <c r="D137" s="12" t="s">
        <v>284</v>
      </c>
      <c r="E137" s="15" t="s">
        <v>262</v>
      </c>
      <c r="F137" s="14"/>
    </row>
    <row r="138" spans="2:6" x14ac:dyDescent="0.2">
      <c r="B138" s="11"/>
      <c r="C138" s="12"/>
      <c r="D138" s="12"/>
      <c r="E138" s="15"/>
      <c r="F138" s="14"/>
    </row>
    <row r="139" spans="2:6" x14ac:dyDescent="0.2">
      <c r="B139" s="11">
        <v>300</v>
      </c>
      <c r="C139" s="12" t="s">
        <v>408</v>
      </c>
      <c r="D139" s="12" t="s">
        <v>286</v>
      </c>
      <c r="E139" s="15" t="s">
        <v>285</v>
      </c>
      <c r="F139" s="14"/>
    </row>
    <row r="140" spans="2:6" ht="60" x14ac:dyDescent="0.2">
      <c r="B140" s="11">
        <v>301</v>
      </c>
      <c r="C140" s="12" t="s">
        <v>188</v>
      </c>
      <c r="D140" s="12" t="s">
        <v>295</v>
      </c>
      <c r="E140" s="15" t="s">
        <v>268</v>
      </c>
      <c r="F140" s="14"/>
    </row>
    <row r="141" spans="2:6" ht="72" x14ac:dyDescent="0.2">
      <c r="B141" s="11">
        <v>302</v>
      </c>
      <c r="C141" s="12" t="s">
        <v>409</v>
      </c>
      <c r="D141" s="12" t="s">
        <v>317</v>
      </c>
      <c r="E141" s="15" t="s">
        <v>318</v>
      </c>
      <c r="F141" s="14"/>
    </row>
    <row r="142" spans="2:6" ht="36" x14ac:dyDescent="0.2">
      <c r="B142" s="11">
        <v>303</v>
      </c>
      <c r="C142" s="12" t="s">
        <v>410</v>
      </c>
      <c r="D142" s="12" t="s">
        <v>296</v>
      </c>
      <c r="E142" s="15" t="s">
        <v>263</v>
      </c>
      <c r="F142" s="14"/>
    </row>
    <row r="143" spans="2:6" ht="36" x14ac:dyDescent="0.2">
      <c r="B143" s="11">
        <v>304</v>
      </c>
      <c r="C143" s="12" t="s">
        <v>189</v>
      </c>
      <c r="D143" s="12" t="s">
        <v>287</v>
      </c>
      <c r="E143" s="15" t="s">
        <v>264</v>
      </c>
      <c r="F143" s="14"/>
    </row>
    <row r="144" spans="2:6" ht="36" x14ac:dyDescent="0.2">
      <c r="B144" s="11">
        <v>305</v>
      </c>
      <c r="C144" s="12" t="s">
        <v>288</v>
      </c>
      <c r="D144" s="12" t="s">
        <v>289</v>
      </c>
      <c r="E144" s="15" t="s">
        <v>272</v>
      </c>
      <c r="F144" s="14"/>
    </row>
    <row r="145" spans="2:6" ht="108" x14ac:dyDescent="0.2">
      <c r="B145" s="11">
        <v>306</v>
      </c>
      <c r="C145" s="12" t="s">
        <v>411</v>
      </c>
      <c r="D145" s="12" t="s">
        <v>290</v>
      </c>
      <c r="E145" s="15" t="s">
        <v>265</v>
      </c>
      <c r="F145" s="14"/>
    </row>
    <row r="146" spans="2:6" ht="96" x14ac:dyDescent="0.2">
      <c r="B146" s="11">
        <v>307</v>
      </c>
      <c r="C146" s="12" t="s">
        <v>412</v>
      </c>
      <c r="D146" s="12" t="s">
        <v>320</v>
      </c>
      <c r="E146" s="15" t="s">
        <v>321</v>
      </c>
      <c r="F146" s="14"/>
    </row>
    <row r="147" spans="2:6" ht="84" x14ac:dyDescent="0.2">
      <c r="B147" s="11">
        <v>308</v>
      </c>
      <c r="C147" s="12" t="s">
        <v>413</v>
      </c>
      <c r="D147" s="12" t="s">
        <v>291</v>
      </c>
      <c r="E147" s="15" t="s">
        <v>266</v>
      </c>
      <c r="F147" s="14"/>
    </row>
    <row r="148" spans="2:6" ht="156" x14ac:dyDescent="0.2">
      <c r="B148" s="11">
        <v>309</v>
      </c>
      <c r="C148" s="12" t="s">
        <v>193</v>
      </c>
      <c r="D148" s="12" t="s">
        <v>297</v>
      </c>
      <c r="E148" s="15" t="s">
        <v>270</v>
      </c>
      <c r="F148" s="14"/>
    </row>
    <row r="149" spans="2:6" ht="60" x14ac:dyDescent="0.2">
      <c r="B149" s="11">
        <v>310</v>
      </c>
      <c r="C149" s="12" t="s">
        <v>414</v>
      </c>
      <c r="D149" s="12" t="s">
        <v>292</v>
      </c>
      <c r="E149" s="15" t="s">
        <v>267</v>
      </c>
      <c r="F149" s="14"/>
    </row>
    <row r="150" spans="2:6" ht="36" x14ac:dyDescent="0.2">
      <c r="B150" s="11">
        <v>311</v>
      </c>
      <c r="C150" s="12" t="s">
        <v>190</v>
      </c>
      <c r="D150" s="12" t="s">
        <v>298</v>
      </c>
      <c r="E150" s="15" t="s">
        <v>271</v>
      </c>
      <c r="F150" s="14"/>
    </row>
    <row r="151" spans="2:6" x14ac:dyDescent="0.2">
      <c r="B151" s="11">
        <v>312</v>
      </c>
      <c r="C151" s="12"/>
      <c r="D151" s="12"/>
      <c r="E151" s="15"/>
      <c r="F151" s="14"/>
    </row>
    <row r="152" spans="2:6" x14ac:dyDescent="0.2">
      <c r="B152" s="11">
        <v>313</v>
      </c>
      <c r="C152" s="12"/>
      <c r="D152" s="12"/>
      <c r="E152" s="15"/>
      <c r="F152" s="14"/>
    </row>
    <row r="153" spans="2:6" x14ac:dyDescent="0.2">
      <c r="B153" s="11">
        <v>314</v>
      </c>
      <c r="C153" s="12"/>
      <c r="D153" s="12"/>
      <c r="E153" s="15"/>
      <c r="F153" s="14"/>
    </row>
    <row r="154" spans="2:6" x14ac:dyDescent="0.2">
      <c r="B154" s="11">
        <v>315</v>
      </c>
      <c r="C154" s="12"/>
      <c r="D154" s="12"/>
      <c r="E154" s="15"/>
      <c r="F154" s="14"/>
    </row>
    <row r="155" spans="2:6" x14ac:dyDescent="0.2">
      <c r="B155" s="11">
        <v>316</v>
      </c>
      <c r="C155" s="12"/>
      <c r="D155" s="12"/>
      <c r="E155" s="15"/>
      <c r="F155" s="14"/>
    </row>
    <row r="156" spans="2:6" x14ac:dyDescent="0.2">
      <c r="B156" s="11">
        <v>317</v>
      </c>
      <c r="C156" s="12"/>
      <c r="D156" s="12"/>
      <c r="E156" s="15"/>
      <c r="F156" s="14"/>
    </row>
    <row r="157" spans="2:6" x14ac:dyDescent="0.2">
      <c r="B157" s="11">
        <v>318</v>
      </c>
      <c r="C157" s="12"/>
      <c r="D157" s="12"/>
      <c r="E157" s="15"/>
      <c r="F157" s="14"/>
    </row>
    <row r="158" spans="2:6" x14ac:dyDescent="0.2">
      <c r="B158" s="11">
        <v>319</v>
      </c>
      <c r="C158" s="12"/>
      <c r="D158" s="12"/>
      <c r="E158" s="15"/>
      <c r="F158" s="14"/>
    </row>
    <row r="159" spans="2:6" x14ac:dyDescent="0.2">
      <c r="B159" s="11">
        <v>320</v>
      </c>
      <c r="C159" s="12"/>
      <c r="D159" s="12"/>
      <c r="E159" s="15"/>
      <c r="F159" s="14"/>
    </row>
    <row r="160" spans="2:6" x14ac:dyDescent="0.2">
      <c r="B160" s="11"/>
      <c r="C160" s="12"/>
      <c r="D160" s="12"/>
      <c r="E160" s="13"/>
      <c r="F160" s="14"/>
    </row>
    <row r="161" spans="2:6" x14ac:dyDescent="0.2">
      <c r="B161" s="11"/>
      <c r="C161" s="12"/>
      <c r="D161" s="12"/>
      <c r="E161" s="13"/>
      <c r="F161" s="14"/>
    </row>
    <row r="162" spans="2:6" x14ac:dyDescent="0.2">
      <c r="B162" s="11"/>
      <c r="C162" s="12"/>
      <c r="D162" s="12"/>
      <c r="E162" s="13"/>
      <c r="F162" s="14"/>
    </row>
    <row r="163" spans="2:6" x14ac:dyDescent="0.2">
      <c r="B163" s="11"/>
      <c r="C163" s="12"/>
      <c r="D163" s="12"/>
      <c r="E163" s="13"/>
      <c r="F163" s="14"/>
    </row>
    <row r="164" spans="2:6" x14ac:dyDescent="0.2">
      <c r="B164" s="11"/>
      <c r="C164" s="12"/>
      <c r="D164" s="12"/>
      <c r="E164" s="13"/>
      <c r="F164" s="14"/>
    </row>
    <row r="165" spans="2:6" x14ac:dyDescent="0.2">
      <c r="B165" s="11"/>
      <c r="C165" s="12"/>
      <c r="D165" s="12"/>
      <c r="E165" s="13"/>
      <c r="F165" s="14"/>
    </row>
    <row r="166" spans="2:6" x14ac:dyDescent="0.2">
      <c r="B166" s="11"/>
      <c r="C166" s="12"/>
      <c r="D166" s="12"/>
      <c r="E166" s="13"/>
      <c r="F166" s="14"/>
    </row>
    <row r="167" spans="2:6" x14ac:dyDescent="0.2">
      <c r="B167" s="11"/>
      <c r="C167" s="12"/>
      <c r="D167" s="12"/>
      <c r="E167" s="13"/>
      <c r="F167" s="14"/>
    </row>
    <row r="168" spans="2:6" x14ac:dyDescent="0.2">
      <c r="B168" s="11"/>
      <c r="C168" s="12"/>
      <c r="D168" s="12"/>
      <c r="E168" s="13"/>
      <c r="F168" s="14"/>
    </row>
    <row r="169" spans="2:6" x14ac:dyDescent="0.2">
      <c r="B169" s="11"/>
      <c r="C169" s="12"/>
      <c r="D169" s="12"/>
      <c r="E169" s="13"/>
      <c r="F169" s="14"/>
    </row>
    <row r="170" spans="2:6" x14ac:dyDescent="0.2">
      <c r="B170" s="11"/>
      <c r="C170" s="12"/>
      <c r="D170" s="12"/>
      <c r="E170" s="13"/>
      <c r="F170" s="14"/>
    </row>
    <row r="171" spans="2:6" x14ac:dyDescent="0.2">
      <c r="B171" s="11"/>
      <c r="C171" s="12"/>
      <c r="D171" s="12"/>
      <c r="E171" s="13"/>
      <c r="F171" s="14"/>
    </row>
    <row r="172" spans="2:6" x14ac:dyDescent="0.2">
      <c r="B172" s="11"/>
      <c r="C172" s="12"/>
      <c r="D172" s="12"/>
      <c r="E172" s="13"/>
      <c r="F172" s="14"/>
    </row>
  </sheetData>
  <sheetProtection algorithmName="SHA-512" hashValue="l/NzSLHKdsKqQsQGFfGxlrntFUr5y+fOIYMuEj2TdNXG+Ts5hwowgRMUBSgaqIFV+Kg0wUT1jHf6YU6NutcJvw==" saltValue="AmWeO9pejplVgY1IMUOxng==" spinCount="100000" sheet="1" objects="1" scenarios="1"/>
  <pageMargins left="0.7" right="0.7" top="0.78740157499999996" bottom="0.78740157499999996"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2:G11"/>
  <sheetViews>
    <sheetView zoomScale="115" zoomScaleNormal="115" workbookViewId="0">
      <selection activeCell="C43" sqref="C43"/>
    </sheetView>
  </sheetViews>
  <sheetFormatPr defaultColWidth="9.140625" defaultRowHeight="12" x14ac:dyDescent="0.2"/>
  <cols>
    <col min="1" max="1" width="3.7109375" style="3" customWidth="1"/>
    <col min="2" max="16384" width="9.140625" style="3"/>
  </cols>
  <sheetData>
    <row r="2" spans="2:7" x14ac:dyDescent="0.2">
      <c r="B2" s="63" t="s">
        <v>370</v>
      </c>
      <c r="C2" s="184" t="s">
        <v>371</v>
      </c>
      <c r="D2" s="184"/>
      <c r="E2" s="184"/>
    </row>
    <row r="3" spans="2:7" x14ac:dyDescent="0.2">
      <c r="B3" s="1">
        <v>13</v>
      </c>
      <c r="C3" s="48" t="s">
        <v>304</v>
      </c>
      <c r="D3" s="48" t="s">
        <v>304</v>
      </c>
      <c r="E3" s="18" t="s">
        <v>0</v>
      </c>
      <c r="G3" s="55">
        <f>IF('Materials composition'!N46="%",IF('Materials composition'!M46=100,"",1),IF('Materials composition'!M46='Materials composition'!F10,"",1))</f>
        <v>1</v>
      </c>
    </row>
    <row r="4" spans="2:7" x14ac:dyDescent="0.2">
      <c r="B4" s="1">
        <v>14</v>
      </c>
      <c r="C4" s="48" t="s">
        <v>0</v>
      </c>
      <c r="D4" s="48" t="s">
        <v>307</v>
      </c>
      <c r="E4" s="18" t="s">
        <v>308</v>
      </c>
      <c r="G4" s="3" t="str">
        <f>IF('Materials composition'!N46="=",IF('Materials composition'!M46=100,"",1),"")</f>
        <v/>
      </c>
    </row>
    <row r="5" spans="2:7" x14ac:dyDescent="0.2">
      <c r="B5" s="1">
        <v>15</v>
      </c>
      <c r="C5" s="18" t="s">
        <v>308</v>
      </c>
      <c r="D5" s="18" t="s">
        <v>313</v>
      </c>
      <c r="E5" s="18" t="s">
        <v>309</v>
      </c>
    </row>
    <row r="6" spans="2:7" x14ac:dyDescent="0.2">
      <c r="B6" s="1">
        <v>20</v>
      </c>
      <c r="C6" s="18" t="s">
        <v>309</v>
      </c>
      <c r="D6" s="18" t="s">
        <v>314</v>
      </c>
      <c r="E6" s="18" t="s">
        <v>310</v>
      </c>
    </row>
    <row r="7" spans="2:7" x14ac:dyDescent="0.2">
      <c r="B7" s="1">
        <v>21</v>
      </c>
      <c r="C7" s="18" t="s">
        <v>310</v>
      </c>
      <c r="D7" s="18" t="s">
        <v>315</v>
      </c>
      <c r="E7" s="18" t="s">
        <v>323</v>
      </c>
    </row>
    <row r="8" spans="2:7" x14ac:dyDescent="0.2">
      <c r="B8" s="1">
        <v>22</v>
      </c>
      <c r="C8" s="18" t="s">
        <v>323</v>
      </c>
      <c r="D8" s="18" t="s">
        <v>322</v>
      </c>
      <c r="E8" s="18" t="s">
        <v>312</v>
      </c>
    </row>
    <row r="9" spans="2:7" x14ac:dyDescent="0.2">
      <c r="B9" s="1">
        <v>23</v>
      </c>
      <c r="C9" s="18" t="s">
        <v>312</v>
      </c>
      <c r="D9" s="54" t="s">
        <v>316</v>
      </c>
      <c r="E9" s="18" t="s">
        <v>311</v>
      </c>
    </row>
    <row r="10" spans="2:7" x14ac:dyDescent="0.2">
      <c r="B10" s="1">
        <v>24</v>
      </c>
      <c r="C10" s="18" t="s">
        <v>311</v>
      </c>
      <c r="D10" s="54" t="s">
        <v>0</v>
      </c>
    </row>
    <row r="11" spans="2:7" x14ac:dyDescent="0.2">
      <c r="B11" s="1">
        <v>25</v>
      </c>
    </row>
  </sheetData>
  <sheetProtection algorithmName="SHA-512" hashValue="mb60yDVaPKC4dQ9/2+uaq9woj0SQeY2PdUPrnn4f/xXpVPgx0uYdHwsqtRXHF5cHdrikc9eI5WZQtg9/x+Cgcw==" saltValue="KWXoE8hJjiupTX+zzwrJlA==" spinCount="100000" sheet="1" objects="1" scenarios="1"/>
  <mergeCells count="1">
    <mergeCell ref="C2:E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workbookViewId="0">
      <selection activeCell="C38" sqref="C38"/>
    </sheetView>
  </sheetViews>
  <sheetFormatPr defaultRowHeight="15" x14ac:dyDescent="0.25"/>
  <cols>
    <col min="1" max="1" width="12.140625" bestFit="1" customWidth="1"/>
    <col min="2" max="2" width="9.85546875" bestFit="1" customWidth="1"/>
    <col min="3" max="3" width="12.28515625" bestFit="1" customWidth="1"/>
    <col min="4" max="4" width="12.28515625" customWidth="1"/>
    <col min="5" max="5" width="9.28515625" customWidth="1"/>
    <col min="6" max="6" width="35.42578125" bestFit="1" customWidth="1"/>
    <col min="7" max="7" width="20.140625" customWidth="1"/>
    <col min="8" max="8" width="12.85546875" bestFit="1" customWidth="1"/>
    <col min="12" max="12" width="9.140625" customWidth="1"/>
  </cols>
  <sheetData>
    <row r="1" spans="1:8" s="60" customFormat="1" x14ac:dyDescent="0.25">
      <c r="A1" s="59" t="s">
        <v>345</v>
      </c>
      <c r="B1" s="59" t="s">
        <v>335</v>
      </c>
      <c r="C1" s="59" t="s">
        <v>334</v>
      </c>
      <c r="D1" s="59" t="s">
        <v>333</v>
      </c>
      <c r="E1" s="59" t="s">
        <v>332</v>
      </c>
      <c r="F1" s="59" t="s">
        <v>344</v>
      </c>
      <c r="G1" s="59" t="s">
        <v>343</v>
      </c>
      <c r="H1" s="59" t="s">
        <v>342</v>
      </c>
    </row>
    <row r="2" spans="1:8" s="60" customFormat="1" x14ac:dyDescent="0.25">
      <c r="A2" s="71" t="s">
        <v>378</v>
      </c>
      <c r="B2" s="57" t="s">
        <v>23</v>
      </c>
      <c r="C2" s="57">
        <f>'Materials composition'!M15</f>
        <v>0</v>
      </c>
      <c r="D2" s="57" t="str">
        <f t="shared" ref="D2:D31" si="0">Zvolena_jednotka</f>
        <v>%</v>
      </c>
      <c r="E2" s="57" t="str">
        <f>IF('Materials composition'!$M$46=0,"",IF(Zvolena_jednotka="%",C2/100,C2/'Materials composition'!$M$46))</f>
        <v/>
      </c>
      <c r="F2" s="56" t="s">
        <v>177</v>
      </c>
      <c r="G2" s="57" t="s">
        <v>2</v>
      </c>
      <c r="H2" s="57" t="s">
        <v>10</v>
      </c>
    </row>
    <row r="3" spans="1:8" s="60" customFormat="1" x14ac:dyDescent="0.25">
      <c r="A3" s="71" t="s">
        <v>379</v>
      </c>
      <c r="B3" s="57" t="s">
        <v>24</v>
      </c>
      <c r="C3" s="57">
        <f>'Materials composition'!M16</f>
        <v>0</v>
      </c>
      <c r="D3" s="57" t="str">
        <f t="shared" si="0"/>
        <v>%</v>
      </c>
      <c r="E3" s="57" t="str">
        <f>IF('Materials composition'!$M$46=0,"",IF(Zvolena_jednotka="%",C3/100,C3/'Materials composition'!$M$46))</f>
        <v/>
      </c>
      <c r="F3" s="56" t="s">
        <v>178</v>
      </c>
      <c r="G3" s="57" t="s">
        <v>2</v>
      </c>
      <c r="H3" s="57" t="s">
        <v>10</v>
      </c>
    </row>
    <row r="4" spans="1:8" s="60" customFormat="1" x14ac:dyDescent="0.25">
      <c r="A4" s="71" t="s">
        <v>380</v>
      </c>
      <c r="B4" s="57" t="s">
        <v>25</v>
      </c>
      <c r="C4" s="57">
        <f>'Materials composition'!M17</f>
        <v>0</v>
      </c>
      <c r="D4" s="57" t="str">
        <f t="shared" si="0"/>
        <v>%</v>
      </c>
      <c r="E4" s="57" t="str">
        <f>IF('Materials composition'!$M$46=0,"",IF(Zvolena_jednotka="%",C4/100,C4/'Materials composition'!$M$46))</f>
        <v/>
      </c>
      <c r="F4" s="56" t="s">
        <v>179</v>
      </c>
      <c r="G4" s="57" t="s">
        <v>2</v>
      </c>
      <c r="H4" s="57" t="s">
        <v>10</v>
      </c>
    </row>
    <row r="5" spans="1:8" s="60" customFormat="1" x14ac:dyDescent="0.25">
      <c r="A5" s="71" t="s">
        <v>381</v>
      </c>
      <c r="B5" s="57" t="s">
        <v>26</v>
      </c>
      <c r="C5" s="57">
        <f>'Materials composition'!M19</f>
        <v>0</v>
      </c>
      <c r="D5" s="57" t="str">
        <f t="shared" si="0"/>
        <v>%</v>
      </c>
      <c r="E5" s="57" t="str">
        <f>IF('Materials composition'!$M$46=0,"",IF(Zvolena_jednotka="%",C5/100,C5/'Materials composition'!$M$46))</f>
        <v/>
      </c>
      <c r="F5" s="56" t="s">
        <v>341</v>
      </c>
      <c r="G5" s="57" t="s">
        <v>2</v>
      </c>
      <c r="H5" s="57" t="s">
        <v>11</v>
      </c>
    </row>
    <row r="6" spans="1:8" s="60" customFormat="1" x14ac:dyDescent="0.25">
      <c r="A6" s="71" t="s">
        <v>382</v>
      </c>
      <c r="B6" s="57" t="s">
        <v>27</v>
      </c>
      <c r="C6" s="57">
        <f>'Materials composition'!M20</f>
        <v>0</v>
      </c>
      <c r="D6" s="57" t="str">
        <f t="shared" si="0"/>
        <v>%</v>
      </c>
      <c r="E6" s="57" t="str">
        <f>IF('Materials composition'!$M$46=0,"",IF(Zvolena_jednotka="%",C6/100,C6/'Materials composition'!$M$46))</f>
        <v/>
      </c>
      <c r="F6" s="56" t="s">
        <v>340</v>
      </c>
      <c r="G6" s="57" t="s">
        <v>2</v>
      </c>
      <c r="H6" s="57" t="s">
        <v>11</v>
      </c>
    </row>
    <row r="7" spans="1:8" s="60" customFormat="1" x14ac:dyDescent="0.25">
      <c r="A7" s="71" t="s">
        <v>383</v>
      </c>
      <c r="B7" s="57" t="s">
        <v>28</v>
      </c>
      <c r="C7" s="57">
        <f>'Materials composition'!M21</f>
        <v>0</v>
      </c>
      <c r="D7" s="57" t="str">
        <f t="shared" si="0"/>
        <v>%</v>
      </c>
      <c r="E7" s="57" t="str">
        <f>IF('Materials composition'!$M$46=0,"",IF(Zvolena_jednotka="%",C7/100,C7/'Materials composition'!$M$46))</f>
        <v/>
      </c>
      <c r="F7" s="56" t="s">
        <v>339</v>
      </c>
      <c r="G7" s="57" t="s">
        <v>2</v>
      </c>
      <c r="H7" s="57" t="s">
        <v>11</v>
      </c>
    </row>
    <row r="8" spans="1:8" s="60" customFormat="1" x14ac:dyDescent="0.25">
      <c r="A8" s="71" t="s">
        <v>384</v>
      </c>
      <c r="B8" s="57" t="s">
        <v>29</v>
      </c>
      <c r="C8" s="57">
        <f>'Materials composition'!M22</f>
        <v>0</v>
      </c>
      <c r="D8" s="57" t="str">
        <f t="shared" si="0"/>
        <v>%</v>
      </c>
      <c r="E8" s="57" t="str">
        <f>IF('Materials composition'!$M$46=0,"",IF(Zvolena_jednotka="%",C8/100,C8/'Materials composition'!$M$46))</f>
        <v/>
      </c>
      <c r="F8" s="56" t="s">
        <v>338</v>
      </c>
      <c r="G8" s="57" t="s">
        <v>2</v>
      </c>
      <c r="H8" s="57" t="s">
        <v>11</v>
      </c>
    </row>
    <row r="9" spans="1:8" s="60" customFormat="1" ht="24" x14ac:dyDescent="0.25">
      <c r="A9" s="71" t="s">
        <v>385</v>
      </c>
      <c r="B9" s="57">
        <v>3</v>
      </c>
      <c r="C9" s="57">
        <f>'Materials composition'!M23</f>
        <v>0</v>
      </c>
      <c r="D9" s="57" t="str">
        <f t="shared" si="0"/>
        <v>%</v>
      </c>
      <c r="E9" s="57" t="str">
        <f>IF('Materials composition'!$M$46=0,"",IF(Zvolena_jednotka="%",C9/100,C9/'Materials composition'!$M$46))</f>
        <v/>
      </c>
      <c r="F9" s="56" t="s">
        <v>13</v>
      </c>
      <c r="G9" s="61" t="s">
        <v>134</v>
      </c>
      <c r="H9" s="57" t="s">
        <v>337</v>
      </c>
    </row>
    <row r="10" spans="1:8" s="60" customFormat="1" ht="24" x14ac:dyDescent="0.25">
      <c r="A10" s="71" t="s">
        <v>386</v>
      </c>
      <c r="B10" s="57">
        <v>4</v>
      </c>
      <c r="C10" s="57">
        <f>'Materials composition'!M24</f>
        <v>0</v>
      </c>
      <c r="D10" s="57" t="str">
        <f t="shared" si="0"/>
        <v>%</v>
      </c>
      <c r="E10" s="57" t="str">
        <f>IF('Materials composition'!$M$46=0,"",IF(Zvolena_jednotka="%",C10/100,C10/'Materials composition'!$M$46))</f>
        <v/>
      </c>
      <c r="F10" s="56" t="s">
        <v>14</v>
      </c>
      <c r="G10" s="61" t="s">
        <v>134</v>
      </c>
      <c r="H10" s="57" t="s">
        <v>337</v>
      </c>
    </row>
    <row r="11" spans="1:8" s="60" customFormat="1" ht="24" x14ac:dyDescent="0.25">
      <c r="A11" s="71" t="s">
        <v>387</v>
      </c>
      <c r="B11" s="57">
        <v>5</v>
      </c>
      <c r="C11" s="57">
        <f>'Materials composition'!M25</f>
        <v>0</v>
      </c>
      <c r="D11" s="57" t="str">
        <f t="shared" si="0"/>
        <v>%</v>
      </c>
      <c r="E11" s="57" t="str">
        <f>IF('Materials composition'!$M$46=0,"",IF(Zvolena_jednotka="%",C11/100,C11/'Materials composition'!$M$46))</f>
        <v/>
      </c>
      <c r="F11" s="56" t="s">
        <v>15</v>
      </c>
      <c r="G11" s="61" t="s">
        <v>134</v>
      </c>
      <c r="H11" s="57" t="s">
        <v>337</v>
      </c>
    </row>
    <row r="12" spans="1:8" s="60" customFormat="1" ht="24" x14ac:dyDescent="0.25">
      <c r="A12" s="71" t="s">
        <v>388</v>
      </c>
      <c r="B12" s="57">
        <v>6</v>
      </c>
      <c r="C12" s="57">
        <f>'Materials composition'!M26</f>
        <v>0</v>
      </c>
      <c r="D12" s="57" t="str">
        <f t="shared" si="0"/>
        <v>%</v>
      </c>
      <c r="E12" s="57" t="str">
        <f>IF('Materials composition'!$M$46=0,"",IF(Zvolena_jednotka="%",C12/100,C12/'Materials composition'!$M$46))</f>
        <v/>
      </c>
      <c r="F12" s="56" t="s">
        <v>16</v>
      </c>
      <c r="G12" s="61" t="s">
        <v>134</v>
      </c>
      <c r="H12" s="57" t="s">
        <v>337</v>
      </c>
    </row>
    <row r="13" spans="1:8" s="60" customFormat="1" ht="24" x14ac:dyDescent="0.25">
      <c r="A13" s="71" t="s">
        <v>389</v>
      </c>
      <c r="B13" s="57">
        <v>7</v>
      </c>
      <c r="C13" s="57">
        <f>'Materials composition'!M27</f>
        <v>0</v>
      </c>
      <c r="D13" s="57" t="str">
        <f t="shared" si="0"/>
        <v>%</v>
      </c>
      <c r="E13" s="57" t="str">
        <f>IF('Materials composition'!$M$46=0,"",IF(Zvolena_jednotka="%",C13/100,C13/'Materials composition'!$M$46))</f>
        <v/>
      </c>
      <c r="F13" s="56" t="s">
        <v>17</v>
      </c>
      <c r="G13" s="61" t="s">
        <v>134</v>
      </c>
      <c r="H13" s="57" t="s">
        <v>337</v>
      </c>
    </row>
    <row r="14" spans="1:8" s="60" customFormat="1" ht="24" x14ac:dyDescent="0.25">
      <c r="A14" s="71" t="s">
        <v>390</v>
      </c>
      <c r="B14" s="57">
        <v>8</v>
      </c>
      <c r="C14" s="57">
        <f>'Materials composition'!M28</f>
        <v>0</v>
      </c>
      <c r="D14" s="57" t="str">
        <f t="shared" si="0"/>
        <v>%</v>
      </c>
      <c r="E14" s="57" t="str">
        <f>IF('Materials composition'!$M$46=0,"",IF(Zvolena_jednotka="%",C14/100,C14/'Materials composition'!$M$46))</f>
        <v/>
      </c>
      <c r="F14" s="56" t="s">
        <v>176</v>
      </c>
      <c r="G14" s="61" t="s">
        <v>134</v>
      </c>
      <c r="H14" s="57" t="s">
        <v>337</v>
      </c>
    </row>
    <row r="15" spans="1:8" s="60" customFormat="1" x14ac:dyDescent="0.25">
      <c r="A15" s="71" t="s">
        <v>391</v>
      </c>
      <c r="B15" s="57">
        <v>9</v>
      </c>
      <c r="C15" s="57">
        <f>'Materials composition'!M29</f>
        <v>0</v>
      </c>
      <c r="D15" s="57" t="str">
        <f t="shared" si="0"/>
        <v>%</v>
      </c>
      <c r="E15" s="57" t="str">
        <f>IF('Materials composition'!$M$46=0,"",IF(Zvolena_jednotka="%",C15/100,C15/'Materials composition'!$M$46))</f>
        <v/>
      </c>
      <c r="F15" s="56" t="s">
        <v>12</v>
      </c>
      <c r="G15" s="61" t="s">
        <v>136</v>
      </c>
      <c r="H15" s="57" t="s">
        <v>337</v>
      </c>
    </row>
    <row r="16" spans="1:8" s="60" customFormat="1" x14ac:dyDescent="0.25">
      <c r="A16" s="71" t="s">
        <v>392</v>
      </c>
      <c r="B16" s="57">
        <v>10</v>
      </c>
      <c r="C16" s="57">
        <f>'Materials composition'!M30</f>
        <v>0</v>
      </c>
      <c r="D16" s="57" t="str">
        <f t="shared" si="0"/>
        <v>%</v>
      </c>
      <c r="E16" s="57" t="str">
        <f>IF('Materials composition'!$M$46=0,"",IF(Zvolena_jednotka="%",C16/100,C16/'Materials composition'!$M$46))</f>
        <v/>
      </c>
      <c r="F16" s="15" t="s">
        <v>366</v>
      </c>
      <c r="G16" s="61" t="s">
        <v>136</v>
      </c>
      <c r="H16" s="57" t="s">
        <v>337</v>
      </c>
    </row>
    <row r="17" spans="1:8" s="60" customFormat="1" x14ac:dyDescent="0.25">
      <c r="A17" s="71" t="s">
        <v>393</v>
      </c>
      <c r="B17" s="57">
        <v>11</v>
      </c>
      <c r="C17" s="57">
        <f>'Materials composition'!M31</f>
        <v>0</v>
      </c>
      <c r="D17" s="57" t="str">
        <f t="shared" si="0"/>
        <v>%</v>
      </c>
      <c r="E17" s="57" t="str">
        <f>IF('Materials composition'!$M$46=0,"",IF(Zvolena_jednotka="%",C17/100,C17/'Materials composition'!$M$46))</f>
        <v/>
      </c>
      <c r="F17" s="56" t="s">
        <v>1</v>
      </c>
      <c r="G17" s="61" t="s">
        <v>1</v>
      </c>
      <c r="H17" s="57" t="s">
        <v>337</v>
      </c>
    </row>
    <row r="18" spans="1:8" s="60" customFormat="1" x14ac:dyDescent="0.25">
      <c r="A18" s="71" t="s">
        <v>394</v>
      </c>
      <c r="B18" s="57">
        <v>12</v>
      </c>
      <c r="C18" s="57">
        <f>'Materials composition'!M32</f>
        <v>0</v>
      </c>
      <c r="D18" s="57" t="str">
        <f t="shared" si="0"/>
        <v>%</v>
      </c>
      <c r="E18" s="57" t="str">
        <f>IF('Materials composition'!$M$46=0,"",IF(Zvolena_jednotka="%",C18/100,C18/'Materials composition'!$M$46))</f>
        <v/>
      </c>
      <c r="F18" s="56" t="s">
        <v>18</v>
      </c>
      <c r="G18" s="61" t="s">
        <v>1</v>
      </c>
      <c r="H18" s="57" t="s">
        <v>337</v>
      </c>
    </row>
    <row r="19" spans="1:8" s="60" customFormat="1" x14ac:dyDescent="0.25">
      <c r="A19" s="71" t="s">
        <v>395</v>
      </c>
      <c r="B19" s="57">
        <v>13</v>
      </c>
      <c r="C19" s="57">
        <f>'Materials composition'!M33</f>
        <v>0</v>
      </c>
      <c r="D19" s="57" t="str">
        <f t="shared" si="0"/>
        <v>%</v>
      </c>
      <c r="E19" s="57" t="str">
        <f>IF('Materials composition'!$M$46=0,"",IF(Zvolena_jednotka="%",C19/100,C19/'Materials composition'!$M$46))</f>
        <v/>
      </c>
      <c r="F19" s="56" t="s">
        <v>19</v>
      </c>
      <c r="G19" s="61" t="s">
        <v>138</v>
      </c>
      <c r="H19" s="57" t="s">
        <v>337</v>
      </c>
    </row>
    <row r="20" spans="1:8" s="60" customFormat="1" x14ac:dyDescent="0.25">
      <c r="A20" s="71" t="s">
        <v>396</v>
      </c>
      <c r="B20" s="57">
        <v>14</v>
      </c>
      <c r="C20" s="57">
        <f>'Materials composition'!M34</f>
        <v>0</v>
      </c>
      <c r="D20" s="57" t="str">
        <f t="shared" si="0"/>
        <v>%</v>
      </c>
      <c r="E20" s="57" t="str">
        <f>IF('Materials composition'!$M$46=0,"",IF(Zvolena_jednotka="%",C20/100,C20/'Materials composition'!$M$46))</f>
        <v/>
      </c>
      <c r="F20" s="56" t="s">
        <v>35</v>
      </c>
      <c r="G20" s="61" t="s">
        <v>138</v>
      </c>
      <c r="H20" s="57" t="s">
        <v>337</v>
      </c>
    </row>
    <row r="21" spans="1:8" s="60" customFormat="1" x14ac:dyDescent="0.25">
      <c r="A21" s="71" t="s">
        <v>397</v>
      </c>
      <c r="B21" s="57">
        <v>15</v>
      </c>
      <c r="C21" s="57">
        <f>'Materials composition'!M35</f>
        <v>0</v>
      </c>
      <c r="D21" s="57" t="str">
        <f t="shared" si="0"/>
        <v>%</v>
      </c>
      <c r="E21" s="57" t="str">
        <f>IF('Materials composition'!$M$46=0,"",IF(Zvolena_jednotka="%",C21/100,C21/'Materials composition'!$M$46))</f>
        <v/>
      </c>
      <c r="F21" s="56" t="s">
        <v>37</v>
      </c>
      <c r="G21" s="61" t="s">
        <v>138</v>
      </c>
      <c r="H21" s="57" t="s">
        <v>337</v>
      </c>
    </row>
    <row r="22" spans="1:8" s="60" customFormat="1" x14ac:dyDescent="0.25">
      <c r="A22" s="71" t="s">
        <v>398</v>
      </c>
      <c r="B22" s="57">
        <v>16</v>
      </c>
      <c r="C22" s="57">
        <f>'Materials composition'!M36</f>
        <v>0</v>
      </c>
      <c r="D22" s="57" t="str">
        <f t="shared" si="0"/>
        <v>%</v>
      </c>
      <c r="E22" s="57" t="str">
        <f>IF('Materials composition'!$M$46=0,"",IF(Zvolena_jednotka="%",C22/100,C22/'Materials composition'!$M$46))</f>
        <v/>
      </c>
      <c r="F22" s="56" t="s">
        <v>83</v>
      </c>
      <c r="G22" s="61" t="s">
        <v>39</v>
      </c>
      <c r="H22" s="57" t="s">
        <v>337</v>
      </c>
    </row>
    <row r="23" spans="1:8" s="60" customFormat="1" x14ac:dyDescent="0.25">
      <c r="A23" s="71" t="s">
        <v>399</v>
      </c>
      <c r="B23" s="57">
        <v>17</v>
      </c>
      <c r="C23" s="57">
        <f>'Materials composition'!M37</f>
        <v>0</v>
      </c>
      <c r="D23" s="57" t="str">
        <f t="shared" si="0"/>
        <v>%</v>
      </c>
      <c r="E23" s="57" t="str">
        <f>IF('Materials composition'!$M$46=0,"",IF(Zvolena_jednotka="%",C23/100,C23/'Materials composition'!$M$46))</f>
        <v/>
      </c>
      <c r="F23" s="56" t="s">
        <v>20</v>
      </c>
      <c r="G23" s="61" t="s">
        <v>40</v>
      </c>
      <c r="H23" s="57" t="s">
        <v>337</v>
      </c>
    </row>
    <row r="24" spans="1:8" s="60" customFormat="1" x14ac:dyDescent="0.25">
      <c r="A24" s="71" t="s">
        <v>400</v>
      </c>
      <c r="B24" s="57">
        <v>18</v>
      </c>
      <c r="C24" s="57">
        <f>'Materials composition'!M38</f>
        <v>0</v>
      </c>
      <c r="D24" s="57" t="str">
        <f t="shared" si="0"/>
        <v>%</v>
      </c>
      <c r="E24" s="57" t="str">
        <f>IF('Materials composition'!$M$46=0,"",IF(Zvolena_jednotka="%",C24/100,C24/'Materials composition'!$M$46))</f>
        <v/>
      </c>
      <c r="F24" s="56" t="s">
        <v>9</v>
      </c>
      <c r="G24" s="61" t="s">
        <v>40</v>
      </c>
      <c r="H24" s="57" t="s">
        <v>337</v>
      </c>
    </row>
    <row r="25" spans="1:8" s="60" customFormat="1" x14ac:dyDescent="0.25">
      <c r="A25" s="71" t="s">
        <v>401</v>
      </c>
      <c r="B25" s="57">
        <v>19</v>
      </c>
      <c r="C25" s="57">
        <f>'Materials composition'!M39</f>
        <v>0</v>
      </c>
      <c r="D25" s="57" t="str">
        <f t="shared" si="0"/>
        <v>%</v>
      </c>
      <c r="E25" s="57" t="str">
        <f>IF('Materials composition'!$M$46=0,"",IF(Zvolena_jednotka="%",C25/100,C25/'Materials composition'!$M$46))</f>
        <v/>
      </c>
      <c r="F25" s="56" t="s">
        <v>86</v>
      </c>
      <c r="G25" s="61" t="s">
        <v>40</v>
      </c>
      <c r="H25" s="57" t="s">
        <v>337</v>
      </c>
    </row>
    <row r="26" spans="1:8" s="60" customFormat="1" x14ac:dyDescent="0.25">
      <c r="A26" s="71" t="s">
        <v>402</v>
      </c>
      <c r="B26" s="57">
        <v>20</v>
      </c>
      <c r="C26" s="57">
        <f>'Materials composition'!M40</f>
        <v>0</v>
      </c>
      <c r="D26" s="57" t="str">
        <f t="shared" si="0"/>
        <v>%</v>
      </c>
      <c r="E26" s="57" t="str">
        <f>IF('Materials composition'!$M$46=0,"",IF(Zvolena_jednotka="%",C26/100,C26/'Materials composition'!$M$46))</f>
        <v/>
      </c>
      <c r="F26" s="56" t="s">
        <v>294</v>
      </c>
      <c r="G26" s="61" t="s">
        <v>40</v>
      </c>
      <c r="H26" s="57" t="s">
        <v>337</v>
      </c>
    </row>
    <row r="27" spans="1:8" s="60" customFormat="1" x14ac:dyDescent="0.25">
      <c r="A27" s="71" t="s">
        <v>403</v>
      </c>
      <c r="B27" s="57">
        <v>21</v>
      </c>
      <c r="C27" s="57">
        <f>'Materials composition'!M41</f>
        <v>0</v>
      </c>
      <c r="D27" s="57" t="str">
        <f t="shared" si="0"/>
        <v>%</v>
      </c>
      <c r="E27" s="57" t="str">
        <f>IF('Materials composition'!$M$46=0,"",IF(Zvolena_jednotka="%",C27/100,C27/'Materials composition'!$M$46))</f>
        <v/>
      </c>
      <c r="F27" s="56" t="s">
        <v>141</v>
      </c>
      <c r="G27" s="61" t="s">
        <v>40</v>
      </c>
      <c r="H27" s="57" t="s">
        <v>337</v>
      </c>
    </row>
    <row r="28" spans="1:8" s="60" customFormat="1" x14ac:dyDescent="0.25">
      <c r="A28" s="71" t="s">
        <v>404</v>
      </c>
      <c r="B28" s="57">
        <v>22</v>
      </c>
      <c r="C28" s="57">
        <f>'Materials composition'!M42</f>
        <v>0</v>
      </c>
      <c r="D28" s="57" t="str">
        <f t="shared" si="0"/>
        <v>%</v>
      </c>
      <c r="E28" s="57" t="str">
        <f>IF('Materials composition'!$M$46=0,"",IF(Zvolena_jednotka="%",C28/100,C28/'Materials composition'!$M$46))</f>
        <v/>
      </c>
      <c r="F28" s="56" t="s">
        <v>59</v>
      </c>
      <c r="G28" s="61" t="s">
        <v>40</v>
      </c>
      <c r="H28" s="57" t="s">
        <v>337</v>
      </c>
    </row>
    <row r="29" spans="1:8" s="60" customFormat="1" x14ac:dyDescent="0.25">
      <c r="A29" s="71" t="s">
        <v>405</v>
      </c>
      <c r="B29" s="57">
        <v>23</v>
      </c>
      <c r="C29" s="57">
        <f>'Materials composition'!M43</f>
        <v>0</v>
      </c>
      <c r="D29" s="57" t="str">
        <f t="shared" si="0"/>
        <v>%</v>
      </c>
      <c r="E29" s="57" t="str">
        <f>IF('Materials composition'!$M$46=0,"",IF(Zvolena_jednotka="%",C29/100,C29/'Materials composition'!$M$46))</f>
        <v/>
      </c>
      <c r="F29" s="56" t="s">
        <v>60</v>
      </c>
      <c r="G29" s="61" t="s">
        <v>40</v>
      </c>
      <c r="H29" s="57" t="s">
        <v>337</v>
      </c>
    </row>
    <row r="30" spans="1:8" s="60" customFormat="1" x14ac:dyDescent="0.25">
      <c r="A30" s="71" t="s">
        <v>406</v>
      </c>
      <c r="B30" s="57">
        <v>24</v>
      </c>
      <c r="C30" s="57">
        <f>'Materials composition'!M44</f>
        <v>0</v>
      </c>
      <c r="D30" s="57" t="str">
        <f t="shared" si="0"/>
        <v>%</v>
      </c>
      <c r="E30" s="57" t="str">
        <f>IF('Materials composition'!$M$46=0,"",IF(Zvolena_jednotka="%",C30/100,C30/'Materials composition'!$M$46))</f>
        <v/>
      </c>
      <c r="F30" s="56" t="s">
        <v>61</v>
      </c>
      <c r="G30" s="61" t="s">
        <v>40</v>
      </c>
      <c r="H30" s="57" t="s">
        <v>337</v>
      </c>
    </row>
    <row r="31" spans="1:8" s="60" customFormat="1" x14ac:dyDescent="0.25">
      <c r="A31" s="71" t="s">
        <v>407</v>
      </c>
      <c r="B31" s="57">
        <v>25</v>
      </c>
      <c r="C31" s="57">
        <f>'Materials composition'!M45</f>
        <v>0</v>
      </c>
      <c r="D31" s="57" t="str">
        <f t="shared" si="0"/>
        <v>%</v>
      </c>
      <c r="E31" s="57" t="str">
        <f>IF('Materials composition'!$M$46=0,"",IF(Zvolena_jednotka="%",C31/100,C31/'Materials composition'!$M$46))</f>
        <v/>
      </c>
      <c r="F31" s="56" t="s">
        <v>40</v>
      </c>
      <c r="G31" s="61" t="s">
        <v>40</v>
      </c>
      <c r="H31" s="57" t="s">
        <v>337</v>
      </c>
    </row>
  </sheetData>
  <sheetProtection algorithmName="SHA-512" hashValue="4fD466kBIvnbCEKmNEJOsASR8Asff3ua6dgc6PnzsEombUnVsJd9qsZ74WeBfDAIrLi3AMjgc48rkYzpuDYRng==" saltValue="lnpJkWyDv+5rpB6jfAKA7A==" spinCount="100000" sheet="1" objects="1" scenarios="1"/>
  <pageMargins left="0.7" right="0.7" top="0.78740157499999996" bottom="0.78740157499999996" header="0.3" footer="0.3"/>
  <ignoredErrors>
    <ignoredError sqref="A2:A3 A4:A9 A10:A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C38" sqref="C38"/>
    </sheetView>
  </sheetViews>
  <sheetFormatPr defaultRowHeight="15" x14ac:dyDescent="0.25"/>
  <cols>
    <col min="1" max="1" width="12.140625" bestFit="1" customWidth="1"/>
    <col min="2" max="2" width="12.28515625" bestFit="1" customWidth="1"/>
    <col min="3" max="3" width="12.28515625" customWidth="1"/>
    <col min="4" max="4" width="9.28515625" customWidth="1"/>
    <col min="5" max="5" width="17.28515625" bestFit="1" customWidth="1"/>
  </cols>
  <sheetData>
    <row r="1" spans="1:5" x14ac:dyDescent="0.25">
      <c r="A1" s="59" t="s">
        <v>358</v>
      </c>
      <c r="B1" s="59" t="s">
        <v>334</v>
      </c>
      <c r="C1" s="59" t="s">
        <v>333</v>
      </c>
      <c r="D1" s="59" t="s">
        <v>332</v>
      </c>
      <c r="E1" s="59" t="s">
        <v>357</v>
      </c>
    </row>
    <row r="2" spans="1:5" x14ac:dyDescent="0.25">
      <c r="A2" s="71" t="s">
        <v>378</v>
      </c>
      <c r="B2" s="57" t="str">
        <f>IF('Materials composition'!F57="","",'Materials composition'!F57)</f>
        <v/>
      </c>
      <c r="C2" s="57" t="str">
        <f t="shared" ref="C2:C12" si="0">VLOOKUP(Zvolena_jednotka,UNITS_TAB,2,FALSE)</f>
        <v>%</v>
      </c>
      <c r="D2" s="57" t="str">
        <f>IF('Materials composition'!$M$46=0,"",IF(B2="","",IF(Zvolena_jednotka="%",B2/100,(B2/'Materials composition'!$M$46)*0.001)))</f>
        <v/>
      </c>
      <c r="E2" s="56" t="s">
        <v>356</v>
      </c>
    </row>
    <row r="3" spans="1:5" x14ac:dyDescent="0.25">
      <c r="A3" s="71" t="s">
        <v>379</v>
      </c>
      <c r="B3" s="57" t="str">
        <f>IF('Materials composition'!F58="","",'Materials composition'!F58)</f>
        <v/>
      </c>
      <c r="C3" s="57" t="str">
        <f t="shared" si="0"/>
        <v>%</v>
      </c>
      <c r="D3" s="57" t="str">
        <f>IF('Materials composition'!$M$46=0,"",IF(B3="","",IF(Zvolena_jednotka="%",B3/100,(B3/'Materials composition'!$M$46)*0.001)))</f>
        <v/>
      </c>
      <c r="E3" s="56" t="s">
        <v>355</v>
      </c>
    </row>
    <row r="4" spans="1:5" x14ac:dyDescent="0.25">
      <c r="A4" s="71" t="s">
        <v>380</v>
      </c>
      <c r="B4" s="57" t="str">
        <f>IF('Materials composition'!F59="","",'Materials composition'!F59)</f>
        <v/>
      </c>
      <c r="C4" s="57" t="str">
        <f t="shared" si="0"/>
        <v>%</v>
      </c>
      <c r="D4" s="57" t="str">
        <f>IF('Materials composition'!$M$46=0,"",IF(B4="","",IF(Zvolena_jednotka="%",B4/100,(B4/'Materials composition'!$M$46)*0.001)))</f>
        <v/>
      </c>
      <c r="E4" s="56" t="s">
        <v>354</v>
      </c>
    </row>
    <row r="5" spans="1:5" x14ac:dyDescent="0.25">
      <c r="A5" s="71" t="s">
        <v>381</v>
      </c>
      <c r="B5" s="57" t="str">
        <f>IF('Materials composition'!F60="","",'Materials composition'!F60)</f>
        <v/>
      </c>
      <c r="C5" s="57" t="str">
        <f t="shared" si="0"/>
        <v>%</v>
      </c>
      <c r="D5" s="57" t="str">
        <f>IF('Materials composition'!$M$46=0,"",IF(B5="","",IF(Zvolena_jednotka="%",B5/100,(B5/'Materials composition'!$M$46)*0.001)))</f>
        <v/>
      </c>
      <c r="E5" s="56" t="s">
        <v>353</v>
      </c>
    </row>
    <row r="6" spans="1:5" x14ac:dyDescent="0.25">
      <c r="A6" s="71" t="s">
        <v>382</v>
      </c>
      <c r="B6" s="57" t="str">
        <f>IF('Materials composition'!F61="","",'Materials composition'!F61)</f>
        <v/>
      </c>
      <c r="C6" s="57" t="str">
        <f t="shared" si="0"/>
        <v>%</v>
      </c>
      <c r="D6" s="57" t="str">
        <f>IF('Materials composition'!$M$46=0,"",IF(B6="","",IF(Zvolena_jednotka="%",B6/100,(B6/'Materials composition'!$M$46)*0.001)))</f>
        <v/>
      </c>
      <c r="E6" s="56" t="s">
        <v>352</v>
      </c>
    </row>
    <row r="7" spans="1:5" x14ac:dyDescent="0.25">
      <c r="A7" s="71" t="s">
        <v>383</v>
      </c>
      <c r="B7" s="57" t="str">
        <f>IF('Materials composition'!F62="","",'Materials composition'!F62)</f>
        <v/>
      </c>
      <c r="C7" s="57" t="str">
        <f t="shared" si="0"/>
        <v>%</v>
      </c>
      <c r="D7" s="57" t="str">
        <f>IF('Materials composition'!$M$46=0,"",IF(B7="","",IF(Zvolena_jednotka="%",B7/100,(B7/'Materials composition'!$M$46)*0.001)))</f>
        <v/>
      </c>
      <c r="E7" s="56" t="s">
        <v>351</v>
      </c>
    </row>
    <row r="8" spans="1:5" x14ac:dyDescent="0.25">
      <c r="A8" s="71" t="s">
        <v>384</v>
      </c>
      <c r="B8" s="57" t="str">
        <f>IF('Materials composition'!M57="","",'Materials composition'!M57)</f>
        <v/>
      </c>
      <c r="C8" s="57" t="str">
        <f t="shared" si="0"/>
        <v>%</v>
      </c>
      <c r="D8" s="57" t="str">
        <f>IF('Materials composition'!$M$46=0,"",IF(B8="","",IF(Zvolena_jednotka="%",B8/100,(B8/'Materials composition'!$M$46)*0.001)))</f>
        <v/>
      </c>
      <c r="E8" s="56" t="s">
        <v>350</v>
      </c>
    </row>
    <row r="9" spans="1:5" x14ac:dyDescent="0.25">
      <c r="A9" s="71" t="s">
        <v>385</v>
      </c>
      <c r="B9" s="57" t="str">
        <f>IF('Materials composition'!M58="","",'Materials composition'!M58)</f>
        <v/>
      </c>
      <c r="C9" s="57" t="str">
        <f t="shared" si="0"/>
        <v>%</v>
      </c>
      <c r="D9" s="57" t="str">
        <f>IF('Materials composition'!$M$46=0,"",IF(B9="","",IF(Zvolena_jednotka="%",B9/100,(B9/'Materials composition'!$M$46)*0.001)))</f>
        <v/>
      </c>
      <c r="E9" s="56" t="s">
        <v>349</v>
      </c>
    </row>
    <row r="10" spans="1:5" x14ac:dyDescent="0.25">
      <c r="A10" s="71" t="s">
        <v>386</v>
      </c>
      <c r="B10" s="57" t="str">
        <f>IF('Materials composition'!M59="","",'Materials composition'!M59)</f>
        <v/>
      </c>
      <c r="C10" s="57" t="str">
        <f t="shared" si="0"/>
        <v>%</v>
      </c>
      <c r="D10" s="57" t="str">
        <f>IF('Materials composition'!$M$46=0,"",IF(B10="","",IF(Zvolena_jednotka="%",B10/100,(B10/'Materials composition'!$M$46)*0.001)))</f>
        <v/>
      </c>
      <c r="E10" s="56" t="s">
        <v>348</v>
      </c>
    </row>
    <row r="11" spans="1:5" x14ac:dyDescent="0.25">
      <c r="A11" s="71" t="s">
        <v>387</v>
      </c>
      <c r="B11" s="57" t="str">
        <f>IF('Materials composition'!M60="","",'Materials composition'!M60)</f>
        <v/>
      </c>
      <c r="C11" s="57" t="str">
        <f t="shared" si="0"/>
        <v>%</v>
      </c>
      <c r="D11" s="57" t="str">
        <f>IF('Materials composition'!$M$46=0,"",IF(B11="","",IF(Zvolena_jednotka="%",B11/100,(B11/'Materials composition'!$M$46)*0.001)))</f>
        <v/>
      </c>
      <c r="E11" s="56" t="s">
        <v>347</v>
      </c>
    </row>
    <row r="12" spans="1:5" x14ac:dyDescent="0.25">
      <c r="A12" s="71" t="s">
        <v>388</v>
      </c>
      <c r="B12" s="57" t="str">
        <f>IF('Materials composition'!M61="","",'Materials composition'!M61)</f>
        <v/>
      </c>
      <c r="C12" s="57" t="str">
        <f t="shared" si="0"/>
        <v>%</v>
      </c>
      <c r="D12" s="57" t="str">
        <f>IF('Materials composition'!$M$46=0,"",IF(B12="","",IF(Zvolena_jednotka="%",B12/100,(B12/'Materials composition'!$M$46)*0.001)))</f>
        <v/>
      </c>
      <c r="E12" s="56" t="s">
        <v>346</v>
      </c>
    </row>
  </sheetData>
  <sheetProtection algorithmName="SHA-512" hashValue="Bs8LC/rMSRtXfROmKcDfrP0WkBktSil5eIHEfUHechuiWl0wrBkjsBRaMkiCbsUuh6/s2zoInHTfzWnKLuEOhw==" saltValue="ABnQmW7dDZJQMbRKofrMUw==" spinCount="100000" sheet="1" objects="1" scenarios="1"/>
  <pageMargins left="0.7" right="0.7" top="0.78740157499999996" bottom="0.78740157499999996" header="0.3" footer="0.3"/>
  <ignoredErrors>
    <ignoredError sqref="A2: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C38" sqref="C38"/>
    </sheetView>
  </sheetViews>
  <sheetFormatPr defaultRowHeight="15" x14ac:dyDescent="0.25"/>
  <cols>
    <col min="1" max="1" width="12.140625" customWidth="1"/>
    <col min="2" max="2" width="9.85546875" bestFit="1" customWidth="1"/>
    <col min="3" max="3" width="12.28515625" bestFit="1" customWidth="1"/>
    <col min="4" max="4" width="12.28515625" customWidth="1"/>
    <col min="5" max="5" width="9.28515625" customWidth="1"/>
    <col min="6" max="6" width="26" customWidth="1"/>
    <col min="7" max="7" width="27.42578125" customWidth="1"/>
    <col min="8" max="8" width="19.7109375" customWidth="1"/>
  </cols>
  <sheetData>
    <row r="1" spans="1:8" s="58" customFormat="1" x14ac:dyDescent="0.25">
      <c r="A1" s="59" t="s">
        <v>336</v>
      </c>
      <c r="B1" s="59" t="s">
        <v>335</v>
      </c>
      <c r="C1" s="59" t="s">
        <v>334</v>
      </c>
      <c r="D1" s="59" t="s">
        <v>333</v>
      </c>
      <c r="E1" s="59" t="s">
        <v>332</v>
      </c>
      <c r="F1" s="59" t="s">
        <v>331</v>
      </c>
      <c r="G1" s="59" t="s">
        <v>330</v>
      </c>
      <c r="H1" s="59" t="s">
        <v>329</v>
      </c>
    </row>
    <row r="2" spans="1:8" x14ac:dyDescent="0.25">
      <c r="A2" s="71" t="s">
        <v>378</v>
      </c>
      <c r="B2" s="57" t="str">
        <f>IF('Materials composition'!A68="","",'Materials composition'!A68)</f>
        <v/>
      </c>
      <c r="C2" s="57">
        <f>IF('Materials composition'!M68="","",'Materials composition'!M68)</f>
        <v>0</v>
      </c>
      <c r="D2" s="57" t="str">
        <f t="shared" ref="D2:D11" si="0">Zvolena_jednotka</f>
        <v>%</v>
      </c>
      <c r="E2" s="57" t="str">
        <f>IF('Materials composition'!$M$46=0,"",IF(C2="","",IF(Zvolena_jednotka="%",C2/100,C2/'Materials composition'!$M$46)))</f>
        <v/>
      </c>
      <c r="F2" s="57" t="str">
        <f>IF('Materials composition'!B68="","",'Materials composition'!B68)</f>
        <v/>
      </c>
      <c r="G2" s="57" t="str">
        <f>IF('Materials composition'!G68="","",'Materials composition'!B68)</f>
        <v/>
      </c>
      <c r="H2" s="56" t="str">
        <f>IF('Materials composition'!K68="","",'Materials composition'!K68)</f>
        <v/>
      </c>
    </row>
    <row r="3" spans="1:8" x14ac:dyDescent="0.25">
      <c r="A3" s="71" t="s">
        <v>379</v>
      </c>
      <c r="B3" s="57" t="str">
        <f>IF('Materials composition'!A69="","",'Materials composition'!A69)</f>
        <v/>
      </c>
      <c r="C3" s="57">
        <f>IF('Materials composition'!M69="","",'Materials composition'!M69)</f>
        <v>0</v>
      </c>
      <c r="D3" s="57" t="str">
        <f t="shared" si="0"/>
        <v>%</v>
      </c>
      <c r="E3" s="57" t="str">
        <f>IF('Materials composition'!$M$46=0,"",IF(C3="","",IF(Zvolena_jednotka="%",C3/100,C3/'Materials composition'!$M$46)))</f>
        <v/>
      </c>
      <c r="F3" s="57" t="str">
        <f>IF('Materials composition'!B69="","",'Materials composition'!B69)</f>
        <v/>
      </c>
      <c r="G3" s="57" t="str">
        <f>IF('Materials composition'!G69="","",'Materials composition'!B69)</f>
        <v/>
      </c>
      <c r="H3" s="56" t="str">
        <f>IF('Materials composition'!K69="","",'Materials composition'!K69)</f>
        <v/>
      </c>
    </row>
    <row r="4" spans="1:8" x14ac:dyDescent="0.25">
      <c r="A4" s="71" t="s">
        <v>380</v>
      </c>
      <c r="B4" s="57" t="str">
        <f>IF('Materials composition'!A70="","",'Materials composition'!A70)</f>
        <v/>
      </c>
      <c r="C4" s="57">
        <f>IF('Materials composition'!M70="","",'Materials composition'!M70)</f>
        <v>0</v>
      </c>
      <c r="D4" s="57" t="str">
        <f t="shared" si="0"/>
        <v>%</v>
      </c>
      <c r="E4" s="57" t="str">
        <f>IF('Materials composition'!$M$46=0,"",IF(C4="","",IF(Zvolena_jednotka="%",C4/100,C4/'Materials composition'!$M$46)))</f>
        <v/>
      </c>
      <c r="F4" s="57" t="str">
        <f>IF('Materials composition'!B70="","",'Materials composition'!B70)</f>
        <v/>
      </c>
      <c r="G4" s="57" t="str">
        <f>IF('Materials composition'!G70="","",'Materials composition'!B70)</f>
        <v/>
      </c>
      <c r="H4" s="56" t="str">
        <f>IF('Materials composition'!K70="","",'Materials composition'!K70)</f>
        <v/>
      </c>
    </row>
    <row r="5" spans="1:8" x14ac:dyDescent="0.25">
      <c r="A5" s="71" t="s">
        <v>381</v>
      </c>
      <c r="B5" s="57" t="str">
        <f>IF('Materials composition'!A71="","",'Materials composition'!A71)</f>
        <v/>
      </c>
      <c r="C5" s="57">
        <f>IF('Materials composition'!M71="","",'Materials composition'!M71)</f>
        <v>0</v>
      </c>
      <c r="D5" s="57" t="str">
        <f t="shared" si="0"/>
        <v>%</v>
      </c>
      <c r="E5" s="57" t="str">
        <f>IF('Materials composition'!$M$46=0,"",IF(C5="","",IF(Zvolena_jednotka="%",C5/100,C5/'Materials composition'!$M$46)))</f>
        <v/>
      </c>
      <c r="F5" s="57" t="str">
        <f>IF('Materials composition'!B71="","",'Materials composition'!B71)</f>
        <v/>
      </c>
      <c r="G5" s="57" t="str">
        <f>IF('Materials composition'!G71="","",'Materials composition'!B71)</f>
        <v/>
      </c>
      <c r="H5" s="56" t="str">
        <f>IF('Materials composition'!K71="","",'Materials composition'!K71)</f>
        <v/>
      </c>
    </row>
    <row r="6" spans="1:8" x14ac:dyDescent="0.25">
      <c r="A6" s="71" t="s">
        <v>382</v>
      </c>
      <c r="B6" s="57" t="str">
        <f>IF('Materials composition'!A72="","",'Materials composition'!A72)</f>
        <v/>
      </c>
      <c r="C6" s="57">
        <f>IF('Materials composition'!M72="","",'Materials composition'!M72)</f>
        <v>0</v>
      </c>
      <c r="D6" s="57" t="str">
        <f t="shared" si="0"/>
        <v>%</v>
      </c>
      <c r="E6" s="57" t="str">
        <f>IF('Materials composition'!$M$46=0,"",IF(C6="","",IF(Zvolena_jednotka="%",C6/100,C6/'Materials composition'!$M$46)))</f>
        <v/>
      </c>
      <c r="F6" s="57" t="str">
        <f>IF('Materials composition'!B72="","",'Materials composition'!B72)</f>
        <v/>
      </c>
      <c r="G6" s="57" t="str">
        <f>IF('Materials composition'!G72="","",'Materials composition'!B72)</f>
        <v/>
      </c>
      <c r="H6" s="56" t="str">
        <f>IF('Materials composition'!K72="","",'Materials composition'!K72)</f>
        <v/>
      </c>
    </row>
    <row r="7" spans="1:8" x14ac:dyDescent="0.25">
      <c r="A7" s="71" t="s">
        <v>383</v>
      </c>
      <c r="B7" s="57" t="str">
        <f>IF('Materials composition'!A73="","",'Materials composition'!A73)</f>
        <v/>
      </c>
      <c r="C7" s="57">
        <f>IF('Materials composition'!M73="","",'Materials composition'!M73)</f>
        <v>0</v>
      </c>
      <c r="D7" s="57" t="str">
        <f t="shared" si="0"/>
        <v>%</v>
      </c>
      <c r="E7" s="57" t="str">
        <f>IF('Materials composition'!$M$46=0,"",IF(C7="","",IF(Zvolena_jednotka="%",C7/100,C7/'Materials composition'!$M$46)))</f>
        <v/>
      </c>
      <c r="F7" s="57" t="str">
        <f>IF('Materials composition'!B73="","",'Materials composition'!B73)</f>
        <v/>
      </c>
      <c r="G7" s="57" t="str">
        <f>IF('Materials composition'!G73="","",'Materials composition'!B73)</f>
        <v/>
      </c>
      <c r="H7" s="56" t="str">
        <f>IF('Materials composition'!K73="","",'Materials composition'!K73)</f>
        <v/>
      </c>
    </row>
    <row r="8" spans="1:8" x14ac:dyDescent="0.25">
      <c r="A8" s="71" t="s">
        <v>384</v>
      </c>
      <c r="B8" s="57" t="str">
        <f>IF('Materials composition'!A74="","",'Materials composition'!A74)</f>
        <v/>
      </c>
      <c r="C8" s="57">
        <f>IF('Materials composition'!M74="","",'Materials composition'!M74)</f>
        <v>0</v>
      </c>
      <c r="D8" s="57" t="str">
        <f t="shared" si="0"/>
        <v>%</v>
      </c>
      <c r="E8" s="57" t="str">
        <f>IF('Materials composition'!$M$46=0,"",IF(C8="","",IF(Zvolena_jednotka="%",C8/100,C8/'Materials composition'!$M$46)))</f>
        <v/>
      </c>
      <c r="F8" s="57" t="str">
        <f>IF('Materials composition'!B74="","",'Materials composition'!B74)</f>
        <v/>
      </c>
      <c r="G8" s="57" t="str">
        <f>IF('Materials composition'!G74="","",'Materials composition'!B74)</f>
        <v/>
      </c>
      <c r="H8" s="56" t="str">
        <f>IF('Materials composition'!K74="","",'Materials composition'!K74)</f>
        <v/>
      </c>
    </row>
    <row r="9" spans="1:8" x14ac:dyDescent="0.25">
      <c r="A9" s="71" t="s">
        <v>385</v>
      </c>
      <c r="B9" s="57" t="str">
        <f>IF('Materials composition'!A75="","",'Materials composition'!A75)</f>
        <v/>
      </c>
      <c r="C9" s="57">
        <f>IF('Materials composition'!M75="","",'Materials composition'!M75)</f>
        <v>0</v>
      </c>
      <c r="D9" s="57" t="str">
        <f t="shared" si="0"/>
        <v>%</v>
      </c>
      <c r="E9" s="57" t="str">
        <f>IF('Materials composition'!$M$46=0,"",IF(C9="","",IF(Zvolena_jednotka="%",C9/100,C9/'Materials composition'!$M$46)))</f>
        <v/>
      </c>
      <c r="F9" s="57" t="str">
        <f>IF('Materials composition'!B75="","",'Materials composition'!B75)</f>
        <v/>
      </c>
      <c r="G9" s="57" t="str">
        <f>IF('Materials composition'!G75="","",'Materials composition'!B75)</f>
        <v/>
      </c>
      <c r="H9" s="56" t="str">
        <f>IF('Materials composition'!K75="","",'Materials composition'!K75)</f>
        <v/>
      </c>
    </row>
    <row r="10" spans="1:8" x14ac:dyDescent="0.25">
      <c r="A10" s="71" t="s">
        <v>386</v>
      </c>
      <c r="B10" s="57" t="str">
        <f>IF('Materials composition'!A76="","",'Materials composition'!A76)</f>
        <v/>
      </c>
      <c r="C10" s="57">
        <f>IF('Materials composition'!M76="","",'Materials composition'!M76)</f>
        <v>0</v>
      </c>
      <c r="D10" s="57" t="str">
        <f t="shared" si="0"/>
        <v>%</v>
      </c>
      <c r="E10" s="57" t="str">
        <f>IF('Materials composition'!$M$46=0,"",IF(C10="","",IF(Zvolena_jednotka="%",C10/100,C10/'Materials composition'!$M$46)))</f>
        <v/>
      </c>
      <c r="F10" s="57" t="str">
        <f>IF('Materials composition'!B76="","",'Materials composition'!B76)</f>
        <v/>
      </c>
      <c r="G10" s="57" t="str">
        <f>IF('Materials composition'!G76="","",'Materials composition'!B76)</f>
        <v/>
      </c>
      <c r="H10" s="56" t="str">
        <f>IF('Materials composition'!K76="","",'Materials composition'!K76)</f>
        <v/>
      </c>
    </row>
    <row r="11" spans="1:8" x14ac:dyDescent="0.25">
      <c r="A11" s="71" t="s">
        <v>387</v>
      </c>
      <c r="B11" s="57" t="str">
        <f>IF('Materials composition'!A77="","",'Materials composition'!A77)</f>
        <v/>
      </c>
      <c r="C11" s="57">
        <f>IF('Materials composition'!M77="","",'Materials composition'!M77)</f>
        <v>0</v>
      </c>
      <c r="D11" s="57" t="str">
        <f t="shared" si="0"/>
        <v>%</v>
      </c>
      <c r="E11" s="57" t="str">
        <f>IF('Materials composition'!$M$46=0,"",IF(C11="","",IF(Zvolena_jednotka="%",C11/100,C11/'Materials composition'!$M$46)))</f>
        <v/>
      </c>
      <c r="F11" s="57" t="str">
        <f>IF('Materials composition'!B77="","",'Materials composition'!B77)</f>
        <v/>
      </c>
      <c r="G11" s="57" t="str">
        <f>IF('Materials composition'!G77="","",'Materials composition'!B77)</f>
        <v/>
      </c>
      <c r="H11" s="56" t="str">
        <f>IF('Materials composition'!K77="","",'Materials composition'!K77)</f>
        <v/>
      </c>
    </row>
  </sheetData>
  <sheetProtection algorithmName="SHA-512" hashValue="ZuRL4zghNiuqVYxqi8eQ3iWiL7/oVpRnBJlSditiHK91LNq/NM0v0xvYyU6MfCjTpLPHKlBG1AM6oVk9fdWBtw==" saltValue="16LL7JdE2vILTKjLoHuBhw==" spinCount="100000" sheet="1" objects="1" scenarios="1"/>
  <pageMargins left="0.7" right="0.7" top="0.78740157499999996" bottom="0.78740157499999996" header="0.3" footer="0.3"/>
  <ignoredErrors>
    <ignoredError sqref="A2: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Materials composition</vt:lpstr>
      <vt:lpstr>TRANSLATIONS</vt:lpstr>
      <vt:lpstr>AUXILIARY</vt:lpstr>
      <vt:lpstr>OUTPUTS_MC</vt:lpstr>
      <vt:lpstr>OUTPUTS_MRM</vt:lpstr>
      <vt:lpstr>OUTPUTS_IDP</vt:lpstr>
      <vt:lpstr>BM_REVISION</vt:lpstr>
      <vt:lpstr>BM_TDM_ID</vt:lpstr>
      <vt:lpstr>CAT_TAB</vt:lpstr>
      <vt:lpstr>IndexLanguage</vt:lpstr>
      <vt:lpstr>Language</vt:lpstr>
      <vt:lpstr>NameLanguage</vt:lpstr>
      <vt:lpstr>TableLanguage</vt:lpstr>
      <vt:lpstr>TitleLanguage</vt:lpstr>
      <vt:lpstr>UNITS</vt:lpstr>
      <vt:lpstr>UNITS_2</vt:lpstr>
      <vt:lpstr>UNITS_TAB</vt:lpstr>
      <vt:lpstr>Zvolena_jednotka</vt:lpstr>
    </vt:vector>
  </TitlesOfParts>
  <Company>Škoda Holding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35T - Requirements for Supplies - Material composition of product - Template</dc:title>
  <dc:creator>Poláček  David</dc:creator>
  <cp:lastModifiedBy>Jelínek Petr</cp:lastModifiedBy>
  <cp:lastPrinted>2018-08-16T11:03:34Z</cp:lastPrinted>
  <dcterms:created xsi:type="dcterms:W3CDTF">2015-03-30T11:31:06Z</dcterms:created>
  <dcterms:modified xsi:type="dcterms:W3CDTF">2021-04-09T09:11:14Z</dcterms:modified>
</cp:coreProperties>
</file>